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260" yWindow="4640" windowWidth="27540" windowHeight="19320" tabRatio="500"/>
  </bookViews>
  <sheets>
    <sheet name="Sheet1" sheetId="1" r:id="rId1"/>
    <sheet name="Sheet2" sheetId="2" state="hidden" r:id="rId2"/>
  </sheets>
  <definedNames>
    <definedName name="_xlnm.Print_Area" localSheetId="0">Sheet1!$A$1:$E$110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B2" i="2"/>
  <c r="B12" i="2"/>
  <c r="C11" i="2"/>
  <c r="C2" i="2"/>
  <c r="C12" i="2"/>
  <c r="D11" i="2"/>
  <c r="D2" i="2"/>
  <c r="D12" i="2"/>
  <c r="E11" i="2"/>
  <c r="E2" i="2"/>
  <c r="E12" i="2"/>
  <c r="F11" i="2"/>
  <c r="F2" i="2"/>
  <c r="F12" i="2"/>
  <c r="G11" i="2"/>
  <c r="G2" i="2"/>
  <c r="G12" i="2"/>
  <c r="H11" i="2"/>
  <c r="H2" i="2"/>
  <c r="H12" i="2"/>
  <c r="I11" i="2"/>
  <c r="I2" i="2"/>
  <c r="I12" i="2"/>
  <c r="J11" i="2"/>
  <c r="J2" i="2"/>
  <c r="J12" i="2"/>
  <c r="K11" i="2"/>
  <c r="K2" i="2"/>
  <c r="K12" i="2"/>
  <c r="L11" i="2"/>
  <c r="L2" i="2"/>
  <c r="L12" i="2"/>
  <c r="M11" i="2"/>
  <c r="M2" i="2"/>
  <c r="M12" i="2"/>
  <c r="D34" i="1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D35" i="1"/>
  <c r="E32" i="2"/>
  <c r="E31" i="2"/>
  <c r="E30" i="2"/>
  <c r="E29" i="2"/>
  <c r="E21" i="2"/>
  <c r="E22" i="2"/>
  <c r="E23" i="2"/>
  <c r="E24" i="2"/>
  <c r="E25" i="2"/>
  <c r="E26" i="2"/>
  <c r="E27" i="2"/>
  <c r="E28" i="2"/>
  <c r="E20" i="2"/>
  <c r="N10" i="2"/>
  <c r="N9" i="2"/>
  <c r="N8" i="2"/>
  <c r="N7" i="2"/>
  <c r="N6" i="2"/>
  <c r="N5" i="2"/>
  <c r="D31" i="1"/>
  <c r="D32" i="1"/>
  <c r="A12" i="2"/>
  <c r="M10" i="2"/>
  <c r="L10" i="2"/>
  <c r="K10" i="2"/>
  <c r="J10" i="2"/>
  <c r="I10" i="2"/>
  <c r="H10" i="2"/>
  <c r="G10" i="2"/>
  <c r="F10" i="2"/>
  <c r="E10" i="2"/>
  <c r="D10" i="2"/>
  <c r="C10" i="2"/>
  <c r="B10" i="2"/>
  <c r="D20" i="1"/>
  <c r="M40" i="2"/>
  <c r="M41" i="2"/>
  <c r="K40" i="2"/>
  <c r="K41" i="2"/>
  <c r="I40" i="2"/>
  <c r="I41" i="2"/>
  <c r="G40" i="2"/>
  <c r="G41" i="2"/>
  <c r="E40" i="2"/>
  <c r="E41" i="2"/>
  <c r="C40" i="2"/>
  <c r="C41" i="2"/>
  <c r="L40" i="2"/>
  <c r="L41" i="2"/>
  <c r="H40" i="2"/>
  <c r="H41" i="2"/>
  <c r="B40" i="2"/>
  <c r="B41" i="2"/>
  <c r="J40" i="2"/>
  <c r="J41" i="2"/>
  <c r="F40" i="2"/>
  <c r="F41" i="2"/>
  <c r="D40" i="2"/>
  <c r="D41" i="2"/>
  <c r="C59" i="2"/>
  <c r="C60" i="2"/>
  <c r="J59" i="2"/>
  <c r="J60" i="2"/>
  <c r="F59" i="2"/>
  <c r="F60" i="2"/>
  <c r="M59" i="2"/>
  <c r="M60" i="2"/>
  <c r="B59" i="2"/>
  <c r="B60" i="2"/>
  <c r="I59" i="2"/>
  <c r="I60" i="2"/>
  <c r="E59" i="2"/>
  <c r="E60" i="2"/>
  <c r="L59" i="2"/>
  <c r="L60" i="2"/>
  <c r="H59" i="2"/>
  <c r="H60" i="2"/>
  <c r="D59" i="2"/>
  <c r="D60" i="2"/>
  <c r="K59" i="2"/>
  <c r="K60" i="2"/>
  <c r="G59" i="2"/>
  <c r="G60" i="2"/>
  <c r="C54" i="2"/>
  <c r="C55" i="2"/>
  <c r="J54" i="2"/>
  <c r="J55" i="2"/>
  <c r="D54" i="2"/>
  <c r="D55" i="2"/>
  <c r="C47" i="2"/>
  <c r="D47" i="2"/>
  <c r="H54" i="2"/>
  <c r="H55" i="2"/>
  <c r="M54" i="2"/>
  <c r="M55" i="2"/>
  <c r="C48" i="2"/>
  <c r="D48" i="2"/>
  <c r="C46" i="2"/>
  <c r="D46" i="2"/>
  <c r="F54" i="2"/>
  <c r="F55" i="2"/>
  <c r="L54" i="2"/>
  <c r="L55" i="2"/>
  <c r="E54" i="2"/>
  <c r="E55" i="2"/>
  <c r="I54" i="2"/>
  <c r="I55" i="2"/>
  <c r="C49" i="2"/>
  <c r="D49" i="2"/>
  <c r="B54" i="2"/>
  <c r="B55" i="2"/>
  <c r="G54" i="2"/>
  <c r="G55" i="2"/>
  <c r="K54" i="2"/>
  <c r="K55" i="2"/>
</calcChain>
</file>

<file path=xl/sharedStrings.xml><?xml version="1.0" encoding="utf-8"?>
<sst xmlns="http://schemas.openxmlformats.org/spreadsheetml/2006/main" count="128" uniqueCount="85">
  <si>
    <t>AstralPool Gas Heater Sizing Guide</t>
  </si>
  <si>
    <t>Prepared for:</t>
  </si>
  <si>
    <t>Date:</t>
  </si>
  <si>
    <t>Step1</t>
  </si>
  <si>
    <t>Select Nearest Location</t>
  </si>
  <si>
    <t>Adelaide</t>
  </si>
  <si>
    <t>Step 2</t>
  </si>
  <si>
    <t>Enter Swimming Pool Dimensions</t>
  </si>
  <si>
    <t>Average Length</t>
  </si>
  <si>
    <t>Average Width</t>
  </si>
  <si>
    <t>Average Depth</t>
  </si>
  <si>
    <t>Litres</t>
  </si>
  <si>
    <t>Step 3</t>
  </si>
  <si>
    <t>Enter Desired Swimming Temperature</t>
  </si>
  <si>
    <t>Step 4</t>
  </si>
  <si>
    <t>Enter Desired Heat Up Time in Hours</t>
  </si>
  <si>
    <t>Desired Temp</t>
  </si>
  <si>
    <t>City selection</t>
  </si>
  <si>
    <t>City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</si>
  <si>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</si>
  <si>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</si>
  <si>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</si>
  <si>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</si>
  <si>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</si>
  <si>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</si>
  <si>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</si>
  <si>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</si>
  <si>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</si>
  <si>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</si>
  <si>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</si>
  <si>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</si>
  <si>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Brisbane</t>
  </si>
  <si>
    <t>Melbourne</t>
  </si>
  <si>
    <t>Perth</t>
  </si>
  <si>
    <t>Sydney</t>
  </si>
  <si>
    <t>Townsville</t>
  </si>
  <si>
    <t>Graph data - Unheated water</t>
  </si>
  <si>
    <t>Step 6</t>
  </si>
  <si>
    <t>Surface Area of Swimming Pool</t>
  </si>
  <si>
    <t>Volume of Pool in Litres</t>
  </si>
  <si>
    <t>Results</t>
  </si>
  <si>
    <t>HX 120</t>
  </si>
  <si>
    <t>JX 130</t>
  </si>
  <si>
    <t>JX 160</t>
  </si>
  <si>
    <t>HiNRG 175</t>
  </si>
  <si>
    <t>Viron 250</t>
  </si>
  <si>
    <t>HiNRG 400</t>
  </si>
  <si>
    <t>Viron 450</t>
  </si>
  <si>
    <t>Model</t>
  </si>
  <si>
    <t>Mj/hour</t>
  </si>
  <si>
    <t>Viron 350</t>
  </si>
  <si>
    <t>Required input (mj/hr) to heat pool</t>
  </si>
  <si>
    <t>Recommended Heater Model</t>
  </si>
  <si>
    <t>Cost for initial heat up of swimming pool</t>
  </si>
  <si>
    <t>Initial Heat Up Cost</t>
  </si>
  <si>
    <t>Without Cover</t>
  </si>
  <si>
    <t>With Cover</t>
  </si>
  <si>
    <t>Cost for 2 weeks School Holidays</t>
  </si>
  <si>
    <t>Term Holiday Heating Cost</t>
  </si>
  <si>
    <t>2 weeks</t>
  </si>
  <si>
    <t>6 weeks</t>
  </si>
  <si>
    <t>With cover</t>
  </si>
  <si>
    <t>Without cover</t>
  </si>
  <si>
    <t>2weeks</t>
  </si>
  <si>
    <t>April (2 weeks)</t>
  </si>
  <si>
    <t>July (2 weeks)</t>
  </si>
  <si>
    <t>September (2 weeks)</t>
  </si>
  <si>
    <t>December (6 weeks)</t>
  </si>
  <si>
    <t>Long Weekend Heating Costs</t>
  </si>
  <si>
    <t>Long Weekend Heating Cost</t>
  </si>
  <si>
    <t>Monthly Maintenance Heating Costs</t>
  </si>
  <si>
    <t>Monthly Maintenance Heating costs</t>
  </si>
  <si>
    <t>HiNRG 250</t>
  </si>
  <si>
    <t>2 x HiNRG 250</t>
  </si>
  <si>
    <t>2 x HiNRG 400</t>
  </si>
  <si>
    <t>3 x HiNRG 400</t>
  </si>
  <si>
    <t>4 x HiNRG 400</t>
  </si>
  <si>
    <t>Enter Cost of gas (cents per mega-joule)</t>
  </si>
  <si>
    <t>sq meters</t>
  </si>
  <si>
    <t>mega-joules</t>
  </si>
  <si>
    <t>Notes:</t>
  </si>
  <si>
    <t>Heating Calculations based on factors of temperature loss per square meter of pool surface area</t>
  </si>
  <si>
    <t xml:space="preserve">with an average wind speed of 5 kph at the surface of the pool. </t>
  </si>
  <si>
    <t xml:space="preserve">Heating calculations are a guide only and factors such as shade, soil conditions and unusual </t>
  </si>
  <si>
    <t>weather conditions may increase or decrease heating load.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</si>
</sst>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b/>
      <sz val="10"/>
      <color indexed="30"/>
      <name val="Constantia"/>
      <family val="1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/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2" fillId="2" borderId="0" xfId="0" applyFont="1" applyFill="1"/>
    <xf numFmtId="0" fontId="0" fillId="0" borderId="8" xfId="0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43" fontId="0" fillId="0" borderId="0" xfId="0" applyNumberFormat="1"/>
    <xf numFmtId="0" fontId="0" fillId="5" borderId="0" xfId="0" applyFill="1"/>
    <xf numFmtId="0" fontId="8" fillId="5" borderId="0" xfId="0" applyFont="1" applyFill="1"/>
    <xf numFmtId="0" fontId="0" fillId="5" borderId="0" xfId="0" applyFill="1" applyProtection="1"/>
    <xf numFmtId="0" fontId="0" fillId="5" borderId="0" xfId="0" applyFill="1" applyBorder="1" applyAlignment="1" applyProtection="1">
      <alignment horizontal="center"/>
    </xf>
    <xf numFmtId="0" fontId="2" fillId="5" borderId="0" xfId="0" applyFont="1" applyFill="1" applyProtection="1"/>
    <xf numFmtId="0" fontId="0" fillId="5" borderId="0" xfId="0" applyFill="1" applyAlignment="1">
      <alignment horizontal="center"/>
    </xf>
    <xf numFmtId="0" fontId="7" fillId="5" borderId="0" xfId="0" applyFont="1" applyFill="1"/>
    <xf numFmtId="165" fontId="0" fillId="5" borderId="0" xfId="0" applyNumberFormat="1" applyFill="1"/>
    <xf numFmtId="0" fontId="9" fillId="6" borderId="1" xfId="0" applyFont="1" applyFill="1" applyBorder="1" applyAlignment="1" applyProtection="1">
      <alignment horizontal="center"/>
      <protection locked="0"/>
    </xf>
    <xf numFmtId="164" fontId="10" fillId="6" borderId="1" xfId="1" applyNumberFormat="1" applyFont="1" applyFill="1" applyBorder="1" applyAlignment="1" applyProtection="1">
      <alignment horizontal="center"/>
    </xf>
    <xf numFmtId="0" fontId="9" fillId="6" borderId="1" xfId="0" applyFont="1" applyFill="1" applyBorder="1" applyAlignment="1">
      <alignment horizontal="right"/>
    </xf>
    <xf numFmtId="0" fontId="9" fillId="6" borderId="0" xfId="0" applyFont="1" applyFill="1"/>
    <xf numFmtId="1" fontId="9" fillId="6" borderId="0" xfId="0" applyNumberFormat="1" applyFont="1" applyFill="1"/>
    <xf numFmtId="0" fontId="0" fillId="5" borderId="0" xfId="0" applyFill="1" applyProtection="1"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of Initial Heat Up from cold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 Cover</c:v>
          </c:tx>
          <c:invertIfNegative val="0"/>
          <c:cat>
            <c:strRef>
              <c:f>Sheet2!$B$39:$M$39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Sheet2!$B$40:$M$40</c:f>
              <c:numCache>
                <c:formatCode>_-[$$-409]* #,##0.00_ ;_-[$$-409]* \-#,##0.00\ ;_-[$$-409]* "-"??_ ;_-@_ </c:formatCode>
                <c:ptCount val="12"/>
                <c:pt idx="0">
                  <c:v>19.88712000000001</c:v>
                </c:pt>
                <c:pt idx="1">
                  <c:v>19.2456</c:v>
                </c:pt>
                <c:pt idx="2">
                  <c:v>29.50992000000001</c:v>
                </c:pt>
                <c:pt idx="3">
                  <c:v>48.75552000000002</c:v>
                </c:pt>
                <c:pt idx="4">
                  <c:v>75.05784</c:v>
                </c:pt>
                <c:pt idx="5">
                  <c:v>89.81280000000001</c:v>
                </c:pt>
                <c:pt idx="6">
                  <c:v>96.86952</c:v>
                </c:pt>
                <c:pt idx="7">
                  <c:v>86.60520000000001</c:v>
                </c:pt>
                <c:pt idx="8">
                  <c:v>68.00112</c:v>
                </c:pt>
                <c:pt idx="9">
                  <c:v>47.47248</c:v>
                </c:pt>
                <c:pt idx="10">
                  <c:v>34.00056000000001</c:v>
                </c:pt>
                <c:pt idx="11">
                  <c:v>25.01927999999999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Sheet2!$B$39:$M$39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Sheet2!$B$41:$M$41</c:f>
              <c:numCache>
                <c:formatCode>_-[$$-409]* #,##0.00_ ;_-[$$-409]* \-#,##0.00\ ;_-[$$-409]* "-"??_ ;_-@_ </c:formatCode>
                <c:ptCount val="12"/>
                <c:pt idx="0">
                  <c:v>15.90969600000001</c:v>
                </c:pt>
                <c:pt idx="1">
                  <c:v>15.39648</c:v>
                </c:pt>
                <c:pt idx="2">
                  <c:v>23.60793600000001</c:v>
                </c:pt>
                <c:pt idx="3">
                  <c:v>39.00441600000002</c:v>
                </c:pt>
                <c:pt idx="4">
                  <c:v>60.046272</c:v>
                </c:pt>
                <c:pt idx="5">
                  <c:v>71.85024000000001</c:v>
                </c:pt>
                <c:pt idx="6">
                  <c:v>77.495616</c:v>
                </c:pt>
                <c:pt idx="7">
                  <c:v>69.28416</c:v>
                </c:pt>
                <c:pt idx="8">
                  <c:v>54.40089600000002</c:v>
                </c:pt>
                <c:pt idx="9">
                  <c:v>37.977984</c:v>
                </c:pt>
                <c:pt idx="10">
                  <c:v>27.20044800000001</c:v>
                </c:pt>
                <c:pt idx="11">
                  <c:v>20.015424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682536"/>
        <c:axId val="2081684680"/>
      </c:barChart>
      <c:catAx>
        <c:axId val="2081682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684680"/>
        <c:crosses val="autoZero"/>
        <c:auto val="1"/>
        <c:lblAlgn val="ctr"/>
        <c:lblOffset val="100"/>
        <c:noMultiLvlLbl val="0"/>
      </c:catAx>
      <c:valAx>
        <c:axId val="2081684680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081682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Term Holiday  Heating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Sheet2!$A$46:$A$49</c:f>
              <c:strCache>
                <c:ptCount val="4"/>
                <c:pt idx="0">
                  <c:v>April (2 weeks)</c:v>
                </c:pt>
                <c:pt idx="1">
                  <c:v>July (2 weeks)</c:v>
                </c:pt>
                <c:pt idx="2">
                  <c:v>September (2 weeks)</c:v>
                </c:pt>
                <c:pt idx="3">
                  <c:v>December (6 weeks)</c:v>
                </c:pt>
              </c:strCache>
            </c:strRef>
          </c:cat>
          <c:val>
            <c:numRef>
              <c:f>Sheet2!$C$46:$C$49</c:f>
              <c:numCache>
                <c:formatCode>_-[$$-409]* #,##0.00_ ;_-[$$-409]* \-#,##0.00\ ;_-[$$-409]* "-"??_ ;_-@_ </c:formatCode>
                <c:ptCount val="4"/>
                <c:pt idx="0">
                  <c:v>210.7124928</c:v>
                </c:pt>
                <c:pt idx="1">
                  <c:v>418.6524528</c:v>
                </c:pt>
                <c:pt idx="2">
                  <c:v>293.8884768</c:v>
                </c:pt>
                <c:pt idx="3">
                  <c:v>108.1287792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Sheet2!$A$46:$A$49</c:f>
              <c:strCache>
                <c:ptCount val="4"/>
                <c:pt idx="0">
                  <c:v>April (2 weeks)</c:v>
                </c:pt>
                <c:pt idx="1">
                  <c:v>July (2 weeks)</c:v>
                </c:pt>
                <c:pt idx="2">
                  <c:v>September (2 weeks)</c:v>
                </c:pt>
                <c:pt idx="3">
                  <c:v>December (6 weeks)</c:v>
                </c:pt>
              </c:strCache>
            </c:strRef>
          </c:cat>
          <c:val>
            <c:numRef>
              <c:f>Sheet2!$D$46:$D$49</c:f>
              <c:numCache>
                <c:formatCode>_-[$$-409]* #,##0.00_ ;_-[$$-409]* \-#,##0.00\ ;_-[$$-409]* "-"??_ ;_-@_ </c:formatCode>
                <c:ptCount val="4"/>
                <c:pt idx="0">
                  <c:v>158.0343696</c:v>
                </c:pt>
                <c:pt idx="1">
                  <c:v>313.9893396</c:v>
                </c:pt>
                <c:pt idx="2">
                  <c:v>220.4163576</c:v>
                </c:pt>
                <c:pt idx="3">
                  <c:v>81.09658439999997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616200"/>
        <c:axId val="2081613208"/>
      </c:barChart>
      <c:catAx>
        <c:axId val="2081616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613208"/>
        <c:crosses val="autoZero"/>
        <c:auto val="1"/>
        <c:lblAlgn val="ctr"/>
        <c:lblOffset val="100"/>
        <c:noMultiLvlLbl val="0"/>
      </c:catAx>
      <c:valAx>
        <c:axId val="2081613208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081616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 Weekend Heating Cost - 3 days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Sheet2!$B$54:$M$54</c:f>
              <c:numCache>
                <c:formatCode>_-[$$-409]* #,##0.00_ ;_-[$$-409]* \-#,##0.00\ ;_-[$$-409]* "-"??_ ;_-@_ </c:formatCode>
                <c:ptCount val="12"/>
                <c:pt idx="0">
                  <c:v>24.60579120000001</c:v>
                </c:pt>
                <c:pt idx="1">
                  <c:v>23.812056</c:v>
                </c:pt>
                <c:pt idx="2">
                  <c:v>36.51181920000001</c:v>
                </c:pt>
                <c:pt idx="3">
                  <c:v>60.32387520000002</c:v>
                </c:pt>
                <c:pt idx="4">
                  <c:v>92.8670184</c:v>
                </c:pt>
                <c:pt idx="5">
                  <c:v>111.122928</c:v>
                </c:pt>
                <c:pt idx="6">
                  <c:v>119.8540152</c:v>
                </c:pt>
                <c:pt idx="7">
                  <c:v>107.154252</c:v>
                </c:pt>
                <c:pt idx="8">
                  <c:v>84.13593120000002</c:v>
                </c:pt>
                <c:pt idx="9">
                  <c:v>58.7364048</c:v>
                </c:pt>
                <c:pt idx="10">
                  <c:v>42.06796560000001</c:v>
                </c:pt>
                <c:pt idx="11">
                  <c:v>30.95567279999999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Sheet2!$B$55:$M$55</c:f>
              <c:numCache>
                <c:formatCode>_-[$$-409]* #,##0.00_ ;_-[$$-409]* \-#,##0.00\ ;_-[$$-409]* "-"??_ ;_-@_ </c:formatCode>
                <c:ptCount val="12"/>
                <c:pt idx="0">
                  <c:v>19.68463296000001</c:v>
                </c:pt>
                <c:pt idx="1">
                  <c:v>19.0496448</c:v>
                </c:pt>
                <c:pt idx="2">
                  <c:v>29.20945536000001</c:v>
                </c:pt>
                <c:pt idx="3">
                  <c:v>48.25910016000002</c:v>
                </c:pt>
                <c:pt idx="4">
                  <c:v>74.29361472</c:v>
                </c:pt>
                <c:pt idx="5">
                  <c:v>88.89834240000002</c:v>
                </c:pt>
                <c:pt idx="6">
                  <c:v>95.88321216</c:v>
                </c:pt>
                <c:pt idx="7">
                  <c:v>85.72340160000001</c:v>
                </c:pt>
                <c:pt idx="8">
                  <c:v>67.30874496000001</c:v>
                </c:pt>
                <c:pt idx="9">
                  <c:v>46.98912384</c:v>
                </c:pt>
                <c:pt idx="10">
                  <c:v>33.65437248000001</c:v>
                </c:pt>
                <c:pt idx="11">
                  <c:v>24.76453823999999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583192"/>
        <c:axId val="2081580200"/>
      </c:barChart>
      <c:catAx>
        <c:axId val="2081583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580200"/>
        <c:crosses val="autoZero"/>
        <c:auto val="1"/>
        <c:lblAlgn val="ctr"/>
        <c:lblOffset val="100"/>
        <c:noMultiLvlLbl val="0"/>
      </c:catAx>
      <c:valAx>
        <c:axId val="2081580200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081583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Maintenance Cost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Sheet2!$B$58:$M$58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Sheet2!$B$59:$M$59</c:f>
              <c:numCache>
                <c:formatCode>_-[$$-409]* #,##0.00_ ;_-[$$-409]* \-#,##0.00\ ;_-[$$-409]* "-"??_ ;_-@_ </c:formatCode>
                <c:ptCount val="12"/>
                <c:pt idx="0">
                  <c:v>146.2788072000001</c:v>
                </c:pt>
                <c:pt idx="1">
                  <c:v>141.560136</c:v>
                </c:pt>
                <c:pt idx="2">
                  <c:v>217.0588752</c:v>
                </c:pt>
                <c:pt idx="3">
                  <c:v>358.6190112</c:v>
                </c:pt>
                <c:pt idx="4">
                  <c:v>552.0845304</c:v>
                </c:pt>
                <c:pt idx="5">
                  <c:v>660.613968</c:v>
                </c:pt>
                <c:pt idx="6">
                  <c:v>712.5193512</c:v>
                </c:pt>
                <c:pt idx="7">
                  <c:v>637.0206119999999</c:v>
                </c:pt>
                <c:pt idx="8">
                  <c:v>500.1791472</c:v>
                </c:pt>
                <c:pt idx="9">
                  <c:v>349.1816687999999</c:v>
                </c:pt>
                <c:pt idx="10">
                  <c:v>250.0895736</c:v>
                </c:pt>
                <c:pt idx="11">
                  <c:v>184.0281768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Sheet2!$B$58:$M$58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Sheet2!$B$60:$M$60</c:f>
              <c:numCache>
                <c:formatCode>_-[$$-409]* #,##0.00_ ;_-[$$-409]* \-#,##0.00\ ;_-[$$-409]* "-"??_ ;_-@_ </c:formatCode>
                <c:ptCount val="12"/>
                <c:pt idx="0">
                  <c:v>73.13940360000003</c:v>
                </c:pt>
                <c:pt idx="1">
                  <c:v>70.78006799999998</c:v>
                </c:pt>
                <c:pt idx="2">
                  <c:v>108.5294376</c:v>
                </c:pt>
                <c:pt idx="3">
                  <c:v>179.3095056</c:v>
                </c:pt>
                <c:pt idx="4">
                  <c:v>276.0422652</c:v>
                </c:pt>
                <c:pt idx="5">
                  <c:v>330.306984</c:v>
                </c:pt>
                <c:pt idx="6">
                  <c:v>356.2596756</c:v>
                </c:pt>
                <c:pt idx="7">
                  <c:v>318.510306</c:v>
                </c:pt>
                <c:pt idx="8">
                  <c:v>250.0895736</c:v>
                </c:pt>
                <c:pt idx="9">
                  <c:v>174.5908343999999</c:v>
                </c:pt>
                <c:pt idx="10">
                  <c:v>125.0447868</c:v>
                </c:pt>
                <c:pt idx="11">
                  <c:v>92.01408839999996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550376"/>
        <c:axId val="2081547384"/>
      </c:barChart>
      <c:catAx>
        <c:axId val="2081550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1547384"/>
        <c:crosses val="autoZero"/>
        <c:auto val="1"/>
        <c:lblAlgn val="ctr"/>
        <c:lblOffset val="100"/>
        <c:noMultiLvlLbl val="0"/>
      </c:catAx>
      <c:valAx>
        <c:axId val="2081547384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081550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Cost for Initial Heat Up in Month of Year</c:v>
          </c:tx>
          <c:invertIfNegative val="0"/>
          <c:cat>
            <c:strRef>
              <c:f>Sheet2!$B$39:$M$39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Sheet2!$B$40:$M$40</c:f>
              <c:numCache>
                <c:formatCode>_-[$$-409]* #,##0.00_ ;_-[$$-409]* \-#,##0.00\ ;_-[$$-409]* "-"??_ ;_-@_ </c:formatCode>
                <c:ptCount val="12"/>
                <c:pt idx="0">
                  <c:v>19.88712000000001</c:v>
                </c:pt>
                <c:pt idx="1">
                  <c:v>19.2456</c:v>
                </c:pt>
                <c:pt idx="2">
                  <c:v>29.50992000000001</c:v>
                </c:pt>
                <c:pt idx="3">
                  <c:v>48.75552000000002</c:v>
                </c:pt>
                <c:pt idx="4">
                  <c:v>75.05784</c:v>
                </c:pt>
                <c:pt idx="5">
                  <c:v>89.81280000000001</c:v>
                </c:pt>
                <c:pt idx="6">
                  <c:v>96.86952</c:v>
                </c:pt>
                <c:pt idx="7">
                  <c:v>86.60520000000001</c:v>
                </c:pt>
                <c:pt idx="8">
                  <c:v>68.00112</c:v>
                </c:pt>
                <c:pt idx="9">
                  <c:v>47.47248</c:v>
                </c:pt>
                <c:pt idx="10">
                  <c:v>34.00056000000001</c:v>
                </c:pt>
                <c:pt idx="11">
                  <c:v>25.01927999999999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13736"/>
        <c:axId val="2104810712"/>
      </c:barChart>
      <c:catAx>
        <c:axId val="2104813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810712"/>
        <c:crosses val="autoZero"/>
        <c:auto val="1"/>
        <c:lblAlgn val="ctr"/>
        <c:lblOffset val="100"/>
        <c:noMultiLvlLbl val="0"/>
      </c:catAx>
      <c:valAx>
        <c:axId val="2104810712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04813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of Initial Heat Up from cold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 Cover</c:v>
          </c:tx>
          <c:invertIfNegative val="0"/>
          <c:cat>
            <c:strRef>
              <c:f>Sheet2!$B$39:$M$39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Sheet2!$B$40:$M$40</c:f>
              <c:numCache>
                <c:formatCode>_-[$$-409]* #,##0.00_ ;_-[$$-409]* \-#,##0.00\ ;_-[$$-409]* "-"??_ ;_-@_ </c:formatCode>
                <c:ptCount val="12"/>
                <c:pt idx="0">
                  <c:v>19.88712000000001</c:v>
                </c:pt>
                <c:pt idx="1">
                  <c:v>19.2456</c:v>
                </c:pt>
                <c:pt idx="2">
                  <c:v>29.50992000000001</c:v>
                </c:pt>
                <c:pt idx="3">
                  <c:v>48.75552000000002</c:v>
                </c:pt>
                <c:pt idx="4">
                  <c:v>75.05784</c:v>
                </c:pt>
                <c:pt idx="5">
                  <c:v>89.81280000000001</c:v>
                </c:pt>
                <c:pt idx="6">
                  <c:v>96.86952</c:v>
                </c:pt>
                <c:pt idx="7">
                  <c:v>86.60520000000001</c:v>
                </c:pt>
                <c:pt idx="8">
                  <c:v>68.00112</c:v>
                </c:pt>
                <c:pt idx="9">
                  <c:v>47.47248</c:v>
                </c:pt>
                <c:pt idx="10">
                  <c:v>34.00056000000001</c:v>
                </c:pt>
                <c:pt idx="11">
                  <c:v>25.01927999999999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Sheet2!$B$39:$M$39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Sheet2!$B$41:$M$41</c:f>
              <c:numCache>
                <c:formatCode>_-[$$-409]* #,##0.00_ ;_-[$$-409]* \-#,##0.00\ ;_-[$$-409]* "-"??_ ;_-@_ </c:formatCode>
                <c:ptCount val="12"/>
                <c:pt idx="0">
                  <c:v>15.90969600000001</c:v>
                </c:pt>
                <c:pt idx="1">
                  <c:v>15.39648</c:v>
                </c:pt>
                <c:pt idx="2">
                  <c:v>23.60793600000001</c:v>
                </c:pt>
                <c:pt idx="3">
                  <c:v>39.00441600000002</c:v>
                </c:pt>
                <c:pt idx="4">
                  <c:v>60.046272</c:v>
                </c:pt>
                <c:pt idx="5">
                  <c:v>71.85024000000001</c:v>
                </c:pt>
                <c:pt idx="6">
                  <c:v>77.495616</c:v>
                </c:pt>
                <c:pt idx="7">
                  <c:v>69.28416</c:v>
                </c:pt>
                <c:pt idx="8">
                  <c:v>54.40089600000002</c:v>
                </c:pt>
                <c:pt idx="9">
                  <c:v>37.977984</c:v>
                </c:pt>
                <c:pt idx="10">
                  <c:v>27.20044800000001</c:v>
                </c:pt>
                <c:pt idx="11">
                  <c:v>20.015424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777032"/>
        <c:axId val="2104774040"/>
      </c:barChart>
      <c:catAx>
        <c:axId val="2104777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774040"/>
        <c:crosses val="autoZero"/>
        <c:auto val="1"/>
        <c:lblAlgn val="ctr"/>
        <c:lblOffset val="100"/>
        <c:noMultiLvlLbl val="0"/>
      </c:catAx>
      <c:valAx>
        <c:axId val="2104774040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04777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Term Holiday  Heating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Sheet2!$A$46:$A$49</c:f>
              <c:strCache>
                <c:ptCount val="4"/>
                <c:pt idx="0">
                  <c:v>April (2 weeks)</c:v>
                </c:pt>
                <c:pt idx="1">
                  <c:v>July (2 weeks)</c:v>
                </c:pt>
                <c:pt idx="2">
                  <c:v>September (2 weeks)</c:v>
                </c:pt>
                <c:pt idx="3">
                  <c:v>December (6 weeks)</c:v>
                </c:pt>
              </c:strCache>
            </c:strRef>
          </c:cat>
          <c:val>
            <c:numRef>
              <c:f>Sheet2!$C$46:$C$49</c:f>
              <c:numCache>
                <c:formatCode>_-[$$-409]* #,##0.00_ ;_-[$$-409]* \-#,##0.00\ ;_-[$$-409]* "-"??_ ;_-@_ </c:formatCode>
                <c:ptCount val="4"/>
                <c:pt idx="0">
                  <c:v>210.7124928</c:v>
                </c:pt>
                <c:pt idx="1">
                  <c:v>418.6524528</c:v>
                </c:pt>
                <c:pt idx="2">
                  <c:v>293.8884768</c:v>
                </c:pt>
                <c:pt idx="3">
                  <c:v>108.1287792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Sheet2!$A$46:$A$49</c:f>
              <c:strCache>
                <c:ptCount val="4"/>
                <c:pt idx="0">
                  <c:v>April (2 weeks)</c:v>
                </c:pt>
                <c:pt idx="1">
                  <c:v>July (2 weeks)</c:v>
                </c:pt>
                <c:pt idx="2">
                  <c:v>September (2 weeks)</c:v>
                </c:pt>
                <c:pt idx="3">
                  <c:v>December (6 weeks)</c:v>
                </c:pt>
              </c:strCache>
            </c:strRef>
          </c:cat>
          <c:val>
            <c:numRef>
              <c:f>Sheet2!$D$46:$D$49</c:f>
              <c:numCache>
                <c:formatCode>_-[$$-409]* #,##0.00_ ;_-[$$-409]* \-#,##0.00\ ;_-[$$-409]* "-"??_ ;_-@_ </c:formatCode>
                <c:ptCount val="4"/>
                <c:pt idx="0">
                  <c:v>158.0343696</c:v>
                </c:pt>
                <c:pt idx="1">
                  <c:v>313.9893396</c:v>
                </c:pt>
                <c:pt idx="2">
                  <c:v>220.4163576</c:v>
                </c:pt>
                <c:pt idx="3">
                  <c:v>81.09658439999997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745000"/>
        <c:axId val="2104742008"/>
      </c:barChart>
      <c:catAx>
        <c:axId val="2104745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742008"/>
        <c:crosses val="autoZero"/>
        <c:auto val="1"/>
        <c:lblAlgn val="ctr"/>
        <c:lblOffset val="100"/>
        <c:noMultiLvlLbl val="0"/>
      </c:catAx>
      <c:valAx>
        <c:axId val="2104742008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04745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 Weekend Heating Cost - 3 days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Sheet2!$B$54:$M$54</c:f>
              <c:numCache>
                <c:formatCode>_-[$$-409]* #,##0.00_ ;_-[$$-409]* \-#,##0.00\ ;_-[$$-409]* "-"??_ ;_-@_ </c:formatCode>
                <c:ptCount val="12"/>
                <c:pt idx="0">
                  <c:v>24.60579120000001</c:v>
                </c:pt>
                <c:pt idx="1">
                  <c:v>23.812056</c:v>
                </c:pt>
                <c:pt idx="2">
                  <c:v>36.51181920000001</c:v>
                </c:pt>
                <c:pt idx="3">
                  <c:v>60.32387520000002</c:v>
                </c:pt>
                <c:pt idx="4">
                  <c:v>92.8670184</c:v>
                </c:pt>
                <c:pt idx="5">
                  <c:v>111.122928</c:v>
                </c:pt>
                <c:pt idx="6">
                  <c:v>119.8540152</c:v>
                </c:pt>
                <c:pt idx="7">
                  <c:v>107.154252</c:v>
                </c:pt>
                <c:pt idx="8">
                  <c:v>84.13593120000002</c:v>
                </c:pt>
                <c:pt idx="9">
                  <c:v>58.7364048</c:v>
                </c:pt>
                <c:pt idx="10">
                  <c:v>42.06796560000001</c:v>
                </c:pt>
                <c:pt idx="11">
                  <c:v>30.95567279999999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Sheet2!$B$55:$M$55</c:f>
              <c:numCache>
                <c:formatCode>_-[$$-409]* #,##0.00_ ;_-[$$-409]* \-#,##0.00\ ;_-[$$-409]* "-"??_ ;_-@_ </c:formatCode>
                <c:ptCount val="12"/>
                <c:pt idx="0">
                  <c:v>19.68463296000001</c:v>
                </c:pt>
                <c:pt idx="1">
                  <c:v>19.0496448</c:v>
                </c:pt>
                <c:pt idx="2">
                  <c:v>29.20945536000001</c:v>
                </c:pt>
                <c:pt idx="3">
                  <c:v>48.25910016000002</c:v>
                </c:pt>
                <c:pt idx="4">
                  <c:v>74.29361472</c:v>
                </c:pt>
                <c:pt idx="5">
                  <c:v>88.89834240000002</c:v>
                </c:pt>
                <c:pt idx="6">
                  <c:v>95.88321216</c:v>
                </c:pt>
                <c:pt idx="7">
                  <c:v>85.72340160000001</c:v>
                </c:pt>
                <c:pt idx="8">
                  <c:v>67.30874496000001</c:v>
                </c:pt>
                <c:pt idx="9">
                  <c:v>46.98912384</c:v>
                </c:pt>
                <c:pt idx="10">
                  <c:v>33.65437248000001</c:v>
                </c:pt>
                <c:pt idx="11">
                  <c:v>24.76453823999999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712584"/>
        <c:axId val="2104709592"/>
      </c:barChart>
      <c:catAx>
        <c:axId val="2104712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709592"/>
        <c:crosses val="autoZero"/>
        <c:auto val="1"/>
        <c:lblAlgn val="ctr"/>
        <c:lblOffset val="100"/>
        <c:noMultiLvlLbl val="0"/>
      </c:catAx>
      <c:valAx>
        <c:axId val="2104709592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04712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Maintenance Cost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Without Cover</c:v>
          </c:tx>
          <c:invertIfNegative val="0"/>
          <c:cat>
            <c:strRef>
              <c:f>Sheet2!$B$58:$M$58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Sheet2!$B$59:$M$59</c:f>
              <c:numCache>
                <c:formatCode>_-[$$-409]* #,##0.00_ ;_-[$$-409]* \-#,##0.00\ ;_-[$$-409]* "-"??_ ;_-@_ </c:formatCode>
                <c:ptCount val="12"/>
                <c:pt idx="0">
                  <c:v>146.2788072000001</c:v>
                </c:pt>
                <c:pt idx="1">
                  <c:v>141.560136</c:v>
                </c:pt>
                <c:pt idx="2">
                  <c:v>217.0588752</c:v>
                </c:pt>
                <c:pt idx="3">
                  <c:v>358.6190112</c:v>
                </c:pt>
                <c:pt idx="4">
                  <c:v>552.0845304</c:v>
                </c:pt>
                <c:pt idx="5">
                  <c:v>660.613968</c:v>
                </c:pt>
                <c:pt idx="6">
                  <c:v>712.5193512</c:v>
                </c:pt>
                <c:pt idx="7">
                  <c:v>637.0206119999999</c:v>
                </c:pt>
                <c:pt idx="8">
                  <c:v>500.1791472</c:v>
                </c:pt>
                <c:pt idx="9">
                  <c:v>349.1816687999999</c:v>
                </c:pt>
                <c:pt idx="10">
                  <c:v>250.0895736</c:v>
                </c:pt>
                <c:pt idx="11">
                  <c:v>184.0281768</c:v>
                </c:pt>
              </c:numCache>
            </c:numRef>
          </c:val>
        </c:ser>
        <c:ser>
          <c:idx val="1"/>
          <c:order val="1"/>
          <c:tx>
            <c:v>With Cover</c:v>
          </c:tx>
          <c:invertIfNegative val="0"/>
          <c:cat>
            <c:strRef>
              <c:f>Sheet2!$B$58:$M$58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Sheet2!$B$60:$M$60</c:f>
              <c:numCache>
                <c:formatCode>_-[$$-409]* #,##0.00_ ;_-[$$-409]* \-#,##0.00\ ;_-[$$-409]* "-"??_ ;_-@_ </c:formatCode>
                <c:ptCount val="12"/>
                <c:pt idx="0">
                  <c:v>73.13940360000003</c:v>
                </c:pt>
                <c:pt idx="1">
                  <c:v>70.78006799999998</c:v>
                </c:pt>
                <c:pt idx="2">
                  <c:v>108.5294376</c:v>
                </c:pt>
                <c:pt idx="3">
                  <c:v>179.3095056</c:v>
                </c:pt>
                <c:pt idx="4">
                  <c:v>276.0422652</c:v>
                </c:pt>
                <c:pt idx="5">
                  <c:v>330.306984</c:v>
                </c:pt>
                <c:pt idx="6">
                  <c:v>356.2596756</c:v>
                </c:pt>
                <c:pt idx="7">
                  <c:v>318.510306</c:v>
                </c:pt>
                <c:pt idx="8">
                  <c:v>250.0895736</c:v>
                </c:pt>
                <c:pt idx="9">
                  <c:v>174.5908343999999</c:v>
                </c:pt>
                <c:pt idx="10">
                  <c:v>125.0447868</c:v>
                </c:pt>
                <c:pt idx="11">
                  <c:v>92.01408839999996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680008"/>
        <c:axId val="2104677016"/>
      </c:barChart>
      <c:catAx>
        <c:axId val="21046800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677016"/>
        <c:crosses val="autoZero"/>
        <c:auto val="1"/>
        <c:lblAlgn val="ctr"/>
        <c:lblOffset val="100"/>
        <c:noMultiLvlLbl val="0"/>
      </c:catAx>
      <c:valAx>
        <c:axId val="2104677016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2104680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jpe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38</xdr:row>
      <xdr:rowOff>63500</xdr:rowOff>
    </xdr:from>
    <xdr:to>
      <xdr:col>3</xdr:col>
      <xdr:colOff>495300</xdr:colOff>
      <xdr:row>52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57</xdr:row>
      <xdr:rowOff>0</xdr:rowOff>
    </xdr:from>
    <xdr:to>
      <xdr:col>3</xdr:col>
      <xdr:colOff>482600</xdr:colOff>
      <xdr:row>71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3</xdr:col>
      <xdr:colOff>469900</xdr:colOff>
      <xdr:row>88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</xdr:colOff>
      <xdr:row>90</xdr:row>
      <xdr:rowOff>165100</xdr:rowOff>
    </xdr:from>
    <xdr:to>
      <xdr:col>3</xdr:col>
      <xdr:colOff>482600</xdr:colOff>
      <xdr:row>105</xdr:row>
      <xdr:rowOff>50800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241300</xdr:colOff>
      <xdr:row>0</xdr:row>
      <xdr:rowOff>76200</xdr:rowOff>
    </xdr:from>
    <xdr:to>
      <xdr:col>3</xdr:col>
      <xdr:colOff>1079500</xdr:colOff>
      <xdr:row>2</xdr:row>
      <xdr:rowOff>38100</xdr:rowOff>
    </xdr:to>
    <xdr:pic>
      <xdr:nvPicPr>
        <xdr:cNvPr id="7" name="Picture 6" descr="Logo_Astralpool_80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76200"/>
          <a:ext cx="222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17</xdr:row>
      <xdr:rowOff>19050</xdr:rowOff>
    </xdr:from>
    <xdr:to>
      <xdr:col>12</xdr:col>
      <xdr:colOff>406400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14</xdr:row>
      <xdr:rowOff>107950</xdr:rowOff>
    </xdr:from>
    <xdr:to>
      <xdr:col>12</xdr:col>
      <xdr:colOff>304800</xdr:colOff>
      <xdr:row>36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787400</xdr:colOff>
      <xdr:row>17</xdr:row>
      <xdr:rowOff>19050</xdr:rowOff>
    </xdr:from>
    <xdr:to>
      <xdr:col>12</xdr:col>
      <xdr:colOff>406400</xdr:colOff>
      <xdr:row>39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723900</xdr:colOff>
      <xdr:row>22</xdr:row>
      <xdr:rowOff>19050</xdr:rowOff>
    </xdr:from>
    <xdr:to>
      <xdr:col>12</xdr:col>
      <xdr:colOff>342900</xdr:colOff>
      <xdr:row>44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787400</xdr:colOff>
      <xdr:row>23</xdr:row>
      <xdr:rowOff>69850</xdr:rowOff>
    </xdr:from>
    <xdr:to>
      <xdr:col>12</xdr:col>
      <xdr:colOff>406400</xdr:colOff>
      <xdr:row>45</xdr:row>
      <xdr:rowOff>146050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D8" sqref="D8"/>
    </sheetView>
  </sheetViews>
  <sheetFormatPr baseColWidth="10" defaultColWidth="11" defaultRowHeight="15" x14ac:dyDescent="0"/>
  <cols>
    <col min="1" max="1" width="16.1640625" customWidth="1"/>
    <col min="2" max="2" width="35.6640625" customWidth="1"/>
    <col min="3" max="3" width="18.1640625" customWidth="1"/>
    <col min="4" max="4" width="14.33203125" customWidth="1"/>
  </cols>
  <sheetData>
    <row r="1" spans="1:5">
      <c r="A1" s="20"/>
      <c r="B1" s="20"/>
      <c r="C1" s="20"/>
      <c r="D1" s="20"/>
      <c r="E1" s="20"/>
    </row>
    <row r="2" spans="1:5">
      <c r="A2" s="20"/>
      <c r="B2" s="20"/>
      <c r="C2" s="20"/>
      <c r="D2" s="20"/>
      <c r="E2" s="20"/>
    </row>
    <row r="3" spans="1:5">
      <c r="A3" s="20"/>
      <c r="B3" s="20"/>
      <c r="C3" s="20"/>
      <c r="D3" s="20"/>
      <c r="E3" s="20"/>
    </row>
    <row r="4" spans="1:5">
      <c r="A4" s="21" t="s">
        <v>0</v>
      </c>
      <c r="B4" s="20"/>
      <c r="C4" s="20"/>
      <c r="D4" s="20"/>
      <c r="E4" s="20"/>
    </row>
    <row r="5" spans="1:5">
      <c r="A5" s="21" t="s">
        <v>1</v>
      </c>
      <c r="B5" s="33"/>
      <c r="C5" s="20"/>
      <c r="D5" s="20"/>
      <c r="E5" s="20"/>
    </row>
    <row r="6" spans="1:5">
      <c r="A6" s="21" t="s">
        <v>2</v>
      </c>
      <c r="B6" s="33"/>
      <c r="C6" s="20"/>
      <c r="D6" s="20"/>
      <c r="E6" s="20"/>
    </row>
    <row r="7" spans="1:5" ht="16" thickBot="1">
      <c r="A7" s="20"/>
      <c r="B7" s="20"/>
      <c r="C7" s="20"/>
      <c r="D7" s="20"/>
      <c r="E7" s="20"/>
    </row>
    <row r="8" spans="1:5" ht="16" thickBot="1">
      <c r="A8" s="20" t="s">
        <v>3</v>
      </c>
      <c r="B8" s="20" t="s">
        <v>4</v>
      </c>
      <c r="C8" s="20"/>
      <c r="D8" s="28" t="s">
        <v>34</v>
      </c>
      <c r="E8" s="20"/>
    </row>
    <row r="9" spans="1:5">
      <c r="A9" s="20"/>
      <c r="B9" s="20"/>
      <c r="C9" s="20"/>
      <c r="D9" s="20"/>
      <c r="E9" s="20"/>
    </row>
    <row r="10" spans="1:5">
      <c r="A10" s="20"/>
      <c r="B10" s="20"/>
      <c r="C10" s="20"/>
      <c r="D10" s="20"/>
      <c r="E10" s="20"/>
    </row>
    <row r="11" spans="1:5">
      <c r="A11" s="20"/>
      <c r="B11" s="20"/>
      <c r="C11" s="20"/>
      <c r="D11" s="20"/>
      <c r="E11" s="20"/>
    </row>
    <row r="12" spans="1:5">
      <c r="A12" s="20"/>
      <c r="B12" s="20"/>
      <c r="C12" s="20"/>
      <c r="D12" s="20"/>
      <c r="E12" s="20"/>
    </row>
    <row r="13" spans="1:5" ht="16" thickBot="1">
      <c r="A13" s="20" t="s">
        <v>6</v>
      </c>
      <c r="B13" s="20" t="s">
        <v>7</v>
      </c>
      <c r="C13" s="20"/>
      <c r="D13" s="20"/>
      <c r="E13" s="20"/>
    </row>
    <row r="14" spans="1:5" ht="16" thickBot="1">
      <c r="A14" s="22"/>
      <c r="B14" s="22"/>
      <c r="C14" s="22" t="s">
        <v>8</v>
      </c>
      <c r="D14" s="28">
        <v>9</v>
      </c>
      <c r="E14" s="20"/>
    </row>
    <row r="15" spans="1:5" ht="16" thickBot="1">
      <c r="A15" s="22"/>
      <c r="B15" s="22"/>
      <c r="C15" s="22"/>
      <c r="D15" s="23"/>
      <c r="E15" s="20"/>
    </row>
    <row r="16" spans="1:5" ht="16" thickBot="1">
      <c r="A16" s="22"/>
      <c r="B16" s="22"/>
      <c r="C16" s="22" t="s">
        <v>9</v>
      </c>
      <c r="D16" s="28">
        <v>4.5</v>
      </c>
      <c r="E16" s="20"/>
    </row>
    <row r="17" spans="1:5" ht="16" thickBot="1">
      <c r="A17" s="22"/>
      <c r="B17" s="22"/>
      <c r="C17" s="22"/>
      <c r="D17" s="23"/>
      <c r="E17" s="20"/>
    </row>
    <row r="18" spans="1:5" ht="16" thickBot="1">
      <c r="A18" s="22"/>
      <c r="B18" s="22"/>
      <c r="C18" s="22" t="s">
        <v>10</v>
      </c>
      <c r="D18" s="28">
        <v>1.2</v>
      </c>
      <c r="E18" s="20"/>
    </row>
    <row r="19" spans="1:5" ht="16" thickBot="1">
      <c r="A19" s="22"/>
      <c r="B19" s="22"/>
      <c r="C19" s="22"/>
      <c r="D19" s="23"/>
      <c r="E19" s="20"/>
    </row>
    <row r="20" spans="1:5" ht="16" thickBot="1">
      <c r="A20" s="22"/>
      <c r="B20" s="22"/>
      <c r="C20" s="22" t="s">
        <v>11</v>
      </c>
      <c r="D20" s="29">
        <f>D14*D16*D18*1000</f>
        <v>48600</v>
      </c>
      <c r="E20" s="20"/>
    </row>
    <row r="21" spans="1:5" ht="16" thickBot="1">
      <c r="A21" s="22"/>
      <c r="B21" s="22"/>
      <c r="C21" s="22"/>
      <c r="D21" s="23"/>
      <c r="E21" s="20"/>
    </row>
    <row r="22" spans="1:5" ht="16" thickBot="1">
      <c r="A22" s="24" t="s">
        <v>12</v>
      </c>
      <c r="B22" s="24" t="s">
        <v>13</v>
      </c>
      <c r="C22" s="24"/>
      <c r="D22" s="28">
        <v>26</v>
      </c>
      <c r="E22" s="20"/>
    </row>
    <row r="23" spans="1:5" ht="16" thickBot="1">
      <c r="A23" s="20"/>
      <c r="B23" s="20"/>
      <c r="C23" s="20"/>
      <c r="D23" s="25"/>
      <c r="E23" s="20"/>
    </row>
    <row r="24" spans="1:5" ht="16" thickBot="1">
      <c r="A24" s="20" t="s">
        <v>14</v>
      </c>
      <c r="B24" s="20" t="s">
        <v>15</v>
      </c>
      <c r="C24" s="20"/>
      <c r="D24" s="28">
        <v>24</v>
      </c>
      <c r="E24" s="20"/>
    </row>
    <row r="25" spans="1:5">
      <c r="A25" s="20"/>
      <c r="B25" s="20"/>
      <c r="C25" s="20"/>
      <c r="D25" s="25"/>
      <c r="E25" s="20"/>
    </row>
    <row r="26" spans="1:5" ht="16" thickBot="1">
      <c r="A26" s="20"/>
      <c r="B26" s="20"/>
      <c r="C26" s="20"/>
      <c r="D26" s="20"/>
      <c r="E26" s="20"/>
    </row>
    <row r="27" spans="1:5" ht="16" thickBot="1">
      <c r="A27" s="20" t="s">
        <v>37</v>
      </c>
      <c r="B27" s="20" t="s">
        <v>77</v>
      </c>
      <c r="C27" s="20"/>
      <c r="D27" s="28">
        <v>2</v>
      </c>
      <c r="E27" s="20"/>
    </row>
    <row r="28" spans="1:5">
      <c r="A28" s="20"/>
      <c r="B28" s="20"/>
      <c r="C28" s="20"/>
      <c r="D28" s="23"/>
      <c r="E28" s="20"/>
    </row>
    <row r="29" spans="1:5">
      <c r="A29" s="20"/>
      <c r="B29" s="20"/>
      <c r="C29" s="20"/>
      <c r="D29" s="23"/>
      <c r="E29" s="20"/>
    </row>
    <row r="30" spans="1:5">
      <c r="A30" s="20" t="s">
        <v>40</v>
      </c>
      <c r="B30" s="20"/>
      <c r="C30" s="20"/>
      <c r="D30" s="20"/>
      <c r="E30" s="20"/>
    </row>
    <row r="31" spans="1:5">
      <c r="A31" s="20" t="s">
        <v>38</v>
      </c>
      <c r="B31" s="20"/>
      <c r="C31" s="20"/>
      <c r="D31" s="31">
        <f>D14*D16</f>
        <v>40.5</v>
      </c>
      <c r="E31" s="31" t="s">
        <v>78</v>
      </c>
    </row>
    <row r="32" spans="1:5">
      <c r="A32" s="20" t="s">
        <v>39</v>
      </c>
      <c r="B32" s="20"/>
      <c r="C32" s="20"/>
      <c r="D32" s="31">
        <f>D31*D18*1000</f>
        <v>48600</v>
      </c>
      <c r="E32" s="31" t="s">
        <v>11</v>
      </c>
    </row>
    <row r="33" spans="1:9">
      <c r="A33" s="20"/>
      <c r="B33" s="20"/>
      <c r="C33" s="20"/>
      <c r="D33" s="31"/>
      <c r="E33" s="20"/>
    </row>
    <row r="34" spans="1:9" ht="16" thickBot="1">
      <c r="A34" s="20" t="s">
        <v>51</v>
      </c>
      <c r="B34" s="20"/>
      <c r="C34" s="20"/>
      <c r="D34" s="32">
        <f>D14*D16*0.33*(SUM(Sheet2!B12:M12)/12)*24/D24</f>
        <v>111.15224999999998</v>
      </c>
      <c r="E34" s="31" t="s">
        <v>79</v>
      </c>
    </row>
    <row r="35" spans="1:9" ht="16" thickBot="1">
      <c r="A35" s="20" t="s">
        <v>52</v>
      </c>
      <c r="B35" s="20"/>
      <c r="C35" s="20"/>
      <c r="D35" s="30" t="str">
        <f>VLOOKUP(1,Sheet2!$D$20:$E$32,2,FALSE)</f>
        <v>JX 160</v>
      </c>
      <c r="E35" s="26"/>
    </row>
    <row r="36" spans="1:9">
      <c r="A36" s="20"/>
      <c r="B36" s="20"/>
      <c r="C36" s="20"/>
      <c r="D36" s="20"/>
      <c r="E36" s="20"/>
    </row>
    <row r="37" spans="1:9">
      <c r="A37" s="20" t="s">
        <v>53</v>
      </c>
      <c r="B37" s="20"/>
      <c r="C37" s="20"/>
      <c r="D37" s="27"/>
      <c r="E37" s="20"/>
    </row>
    <row r="38" spans="1:9">
      <c r="A38" s="20"/>
      <c r="B38" s="20"/>
      <c r="C38" s="20"/>
      <c r="D38" s="20"/>
      <c r="E38" s="20"/>
    </row>
    <row r="39" spans="1:9">
      <c r="A39" s="20"/>
      <c r="B39" s="20"/>
      <c r="C39" s="20"/>
      <c r="D39" s="20"/>
      <c r="E39" s="20"/>
    </row>
    <row r="40" spans="1:9">
      <c r="A40" s="20"/>
      <c r="B40" s="20"/>
      <c r="C40" s="20"/>
      <c r="D40" s="20"/>
      <c r="E40" s="20"/>
    </row>
    <row r="41" spans="1:9">
      <c r="A41" s="20"/>
      <c r="B41" s="20"/>
      <c r="C41" s="20"/>
      <c r="D41" s="20"/>
      <c r="E41" s="20"/>
    </row>
    <row r="42" spans="1:9">
      <c r="A42" s="20"/>
      <c r="B42" s="20"/>
      <c r="C42" s="20"/>
      <c r="D42" s="20"/>
      <c r="E42" s="20"/>
    </row>
    <row r="43" spans="1:9">
      <c r="A43" s="20"/>
      <c r="B43" s="20"/>
      <c r="C43" s="20"/>
      <c r="D43" s="20"/>
      <c r="E43" s="20"/>
      <c r="I43" s="19"/>
    </row>
    <row r="44" spans="1:9">
      <c r="A44" s="20"/>
      <c r="B44" s="20"/>
      <c r="C44" s="20"/>
      <c r="D44" s="20"/>
      <c r="E44" s="20"/>
    </row>
    <row r="45" spans="1:9">
      <c r="A45" s="20"/>
      <c r="B45" s="20"/>
      <c r="C45" s="20"/>
      <c r="D45" s="20"/>
      <c r="E45" s="20"/>
    </row>
    <row r="46" spans="1:9">
      <c r="A46" s="20"/>
      <c r="B46" s="20"/>
      <c r="C46" s="20"/>
      <c r="D46" s="20"/>
      <c r="E46" s="20"/>
    </row>
    <row r="47" spans="1:9">
      <c r="A47" s="20"/>
      <c r="B47" s="20"/>
      <c r="C47" s="20"/>
      <c r="D47" s="20"/>
      <c r="E47" s="20"/>
    </row>
    <row r="48" spans="1:9">
      <c r="A48" s="20"/>
      <c r="B48" s="20"/>
      <c r="C48" s="20"/>
      <c r="D48" s="20"/>
      <c r="E48" s="20"/>
    </row>
    <row r="49" spans="1:5">
      <c r="A49" s="20"/>
      <c r="B49" s="20"/>
      <c r="C49" s="20"/>
      <c r="D49" s="20"/>
      <c r="E49" s="20"/>
    </row>
    <row r="50" spans="1:5">
      <c r="A50" s="20"/>
      <c r="B50" s="20"/>
      <c r="C50" s="20"/>
      <c r="D50" s="20"/>
      <c r="E50" s="20"/>
    </row>
    <row r="51" spans="1:5">
      <c r="A51" s="20"/>
      <c r="B51" s="20"/>
      <c r="C51" s="20"/>
      <c r="D51" s="20"/>
      <c r="E51" s="20"/>
    </row>
    <row r="52" spans="1:5">
      <c r="A52" s="20"/>
      <c r="B52" s="20"/>
      <c r="C52" s="20"/>
      <c r="D52" s="20"/>
      <c r="E52" s="20"/>
    </row>
    <row r="53" spans="1:5">
      <c r="A53" s="20"/>
      <c r="B53" s="20"/>
      <c r="C53" s="20"/>
      <c r="D53" s="20"/>
      <c r="E53" s="20"/>
    </row>
    <row r="54" spans="1:5">
      <c r="A54" s="20"/>
      <c r="B54" s="20"/>
      <c r="C54" s="20"/>
      <c r="D54" s="20"/>
      <c r="E54" s="20"/>
    </row>
    <row r="55" spans="1:5">
      <c r="A55" s="20" t="s">
        <v>57</v>
      </c>
      <c r="B55" s="20"/>
      <c r="C55" s="20"/>
      <c r="D55" s="20"/>
      <c r="E55" s="20"/>
    </row>
    <row r="56" spans="1:5">
      <c r="A56" s="20"/>
      <c r="B56" s="20"/>
      <c r="C56" s="20"/>
      <c r="D56" s="20"/>
      <c r="E56" s="20"/>
    </row>
    <row r="57" spans="1:5">
      <c r="A57" s="20"/>
      <c r="B57" s="20"/>
      <c r="C57" s="20"/>
      <c r="D57" s="20"/>
      <c r="E57" s="20"/>
    </row>
    <row r="58" spans="1:5">
      <c r="A58" s="20"/>
      <c r="B58" s="20"/>
      <c r="C58" s="20"/>
      <c r="D58" s="20"/>
      <c r="E58" s="20"/>
    </row>
    <row r="59" spans="1:5">
      <c r="A59" s="20"/>
      <c r="B59" s="20"/>
      <c r="C59" s="20"/>
      <c r="D59" s="20"/>
      <c r="E59" s="20"/>
    </row>
    <row r="60" spans="1:5">
      <c r="A60" s="20"/>
      <c r="B60" s="20"/>
      <c r="C60" s="20"/>
      <c r="D60" s="20"/>
      <c r="E60" s="20"/>
    </row>
    <row r="61" spans="1:5">
      <c r="A61" s="20"/>
      <c r="B61" s="20"/>
      <c r="C61" s="20"/>
      <c r="D61" s="20"/>
      <c r="E61" s="20"/>
    </row>
    <row r="62" spans="1:5">
      <c r="A62" s="20"/>
      <c r="B62" s="20"/>
      <c r="C62" s="20"/>
      <c r="D62" s="20"/>
      <c r="E62" s="20"/>
    </row>
    <row r="63" spans="1:5">
      <c r="A63" s="20"/>
      <c r="B63" s="20"/>
      <c r="C63" s="20"/>
      <c r="D63" s="20"/>
      <c r="E63" s="20"/>
    </row>
    <row r="64" spans="1:5">
      <c r="A64" s="20"/>
      <c r="B64" s="20"/>
      <c r="C64" s="20"/>
      <c r="D64" s="20"/>
      <c r="E64" s="20"/>
    </row>
    <row r="65" spans="1:5">
      <c r="A65" s="20"/>
      <c r="B65" s="20"/>
      <c r="C65" s="20"/>
      <c r="D65" s="20"/>
      <c r="E65" s="20"/>
    </row>
    <row r="66" spans="1:5">
      <c r="A66" s="20"/>
      <c r="B66" s="20"/>
      <c r="C66" s="20"/>
      <c r="D66" s="20"/>
      <c r="E66" s="20"/>
    </row>
    <row r="67" spans="1:5">
      <c r="A67" s="20"/>
      <c r="B67" s="20"/>
      <c r="C67" s="20"/>
      <c r="D67" s="20"/>
      <c r="E67" s="20"/>
    </row>
    <row r="68" spans="1:5">
      <c r="A68" s="20"/>
      <c r="B68" s="20"/>
      <c r="C68" s="20"/>
      <c r="D68" s="20"/>
      <c r="E68" s="20"/>
    </row>
    <row r="69" spans="1:5">
      <c r="A69" s="20"/>
      <c r="B69" s="20"/>
      <c r="C69" s="20"/>
      <c r="D69" s="20"/>
      <c r="E69" s="20"/>
    </row>
    <row r="70" spans="1:5">
      <c r="A70" s="20"/>
      <c r="B70" s="20"/>
      <c r="C70" s="20"/>
      <c r="D70" s="20"/>
      <c r="E70" s="20"/>
    </row>
    <row r="71" spans="1:5">
      <c r="A71" s="20"/>
      <c r="B71" s="20"/>
      <c r="C71" s="20"/>
      <c r="D71" s="20"/>
      <c r="E71" s="20"/>
    </row>
    <row r="72" spans="1:5">
      <c r="A72" s="20"/>
      <c r="B72" s="20"/>
      <c r="C72" s="20"/>
      <c r="D72" s="20"/>
      <c r="E72" s="20"/>
    </row>
    <row r="73" spans="1:5">
      <c r="A73" s="20" t="s">
        <v>68</v>
      </c>
      <c r="B73" s="20"/>
      <c r="C73" s="20"/>
      <c r="D73" s="20"/>
      <c r="E73" s="20"/>
    </row>
    <row r="74" spans="1:5">
      <c r="A74" s="20"/>
      <c r="B74" s="20"/>
      <c r="C74" s="20"/>
      <c r="D74" s="20"/>
      <c r="E74" s="20"/>
    </row>
    <row r="75" spans="1:5">
      <c r="A75" s="20"/>
      <c r="B75" s="20"/>
      <c r="C75" s="20"/>
      <c r="D75" s="20"/>
      <c r="E75" s="20"/>
    </row>
    <row r="76" spans="1:5">
      <c r="A76" s="20"/>
      <c r="B76" s="20"/>
      <c r="C76" s="20"/>
      <c r="D76" s="20"/>
      <c r="E76" s="20"/>
    </row>
    <row r="77" spans="1:5">
      <c r="A77" s="20"/>
      <c r="B77" s="20"/>
      <c r="C77" s="20"/>
      <c r="D77" s="20"/>
      <c r="E77" s="20"/>
    </row>
    <row r="78" spans="1:5">
      <c r="A78" s="20"/>
      <c r="B78" s="20"/>
      <c r="C78" s="20"/>
      <c r="D78" s="20"/>
      <c r="E78" s="20"/>
    </row>
    <row r="79" spans="1:5">
      <c r="A79" s="20"/>
      <c r="B79" s="20"/>
      <c r="C79" s="20"/>
      <c r="D79" s="20"/>
      <c r="E79" s="20"/>
    </row>
    <row r="80" spans="1:5">
      <c r="A80" s="20"/>
      <c r="B80" s="20"/>
      <c r="C80" s="20"/>
      <c r="D80" s="20"/>
      <c r="E80" s="20"/>
    </row>
    <row r="81" spans="1:5">
      <c r="A81" s="20"/>
      <c r="B81" s="20"/>
      <c r="C81" s="20"/>
      <c r="D81" s="20"/>
      <c r="E81" s="20"/>
    </row>
    <row r="82" spans="1:5">
      <c r="A82" s="20"/>
      <c r="B82" s="20"/>
      <c r="C82" s="20"/>
      <c r="D82" s="20"/>
      <c r="E82" s="20"/>
    </row>
    <row r="83" spans="1:5">
      <c r="A83" s="20"/>
      <c r="B83" s="20"/>
      <c r="C83" s="20"/>
      <c r="D83" s="20"/>
      <c r="E83" s="20"/>
    </row>
    <row r="84" spans="1:5">
      <c r="A84" s="20"/>
      <c r="B84" s="20"/>
      <c r="C84" s="20"/>
      <c r="D84" s="20"/>
      <c r="E84" s="20"/>
    </row>
    <row r="85" spans="1:5">
      <c r="A85" s="20"/>
      <c r="B85" s="20"/>
      <c r="C85" s="20"/>
      <c r="D85" s="20"/>
      <c r="E85" s="20"/>
    </row>
    <row r="86" spans="1:5">
      <c r="A86" s="20"/>
      <c r="B86" s="20"/>
      <c r="C86" s="20"/>
      <c r="D86" s="20"/>
      <c r="E86" s="20"/>
    </row>
    <row r="87" spans="1:5">
      <c r="A87" s="20"/>
      <c r="B87" s="20"/>
      <c r="C87" s="20"/>
      <c r="D87" s="20"/>
      <c r="E87" s="20"/>
    </row>
    <row r="88" spans="1:5">
      <c r="A88" s="20"/>
      <c r="B88" s="20"/>
      <c r="C88" s="20"/>
      <c r="D88" s="20"/>
      <c r="E88" s="20"/>
    </row>
    <row r="89" spans="1:5">
      <c r="A89" s="20"/>
      <c r="B89" s="20"/>
      <c r="C89" s="20"/>
      <c r="D89" s="20"/>
      <c r="E89" s="20"/>
    </row>
    <row r="90" spans="1:5">
      <c r="A90" s="20" t="s">
        <v>70</v>
      </c>
      <c r="B90" s="20"/>
      <c r="C90" s="20"/>
      <c r="D90" s="20"/>
      <c r="E90" s="20"/>
    </row>
    <row r="91" spans="1:5">
      <c r="A91" s="20"/>
      <c r="B91" s="20"/>
      <c r="C91" s="20"/>
      <c r="D91" s="20"/>
      <c r="E91" s="20"/>
    </row>
    <row r="92" spans="1:5">
      <c r="A92" s="20"/>
      <c r="B92" s="20"/>
      <c r="C92" s="20"/>
      <c r="D92" s="20"/>
      <c r="E92" s="20"/>
    </row>
    <row r="93" spans="1:5">
      <c r="A93" s="20"/>
      <c r="B93" s="20"/>
      <c r="C93" s="20"/>
      <c r="D93" s="20"/>
      <c r="E93" s="20"/>
    </row>
    <row r="94" spans="1:5">
      <c r="A94" s="20"/>
      <c r="B94" s="20"/>
      <c r="C94" s="20"/>
      <c r="D94" s="20"/>
      <c r="E94" s="20"/>
    </row>
    <row r="95" spans="1:5">
      <c r="A95" s="20"/>
      <c r="B95" s="20"/>
      <c r="C95" s="20"/>
      <c r="D95" s="20"/>
      <c r="E95" s="20"/>
    </row>
    <row r="96" spans="1:5">
      <c r="A96" s="20"/>
      <c r="B96" s="20"/>
      <c r="C96" s="20"/>
      <c r="D96" s="20"/>
      <c r="E96" s="20"/>
    </row>
    <row r="97" spans="1:5">
      <c r="A97" s="20"/>
      <c r="B97" s="20"/>
      <c r="C97" s="20"/>
      <c r="D97" s="20"/>
      <c r="E97" s="20"/>
    </row>
    <row r="98" spans="1:5">
      <c r="A98" s="20"/>
      <c r="B98" s="20"/>
      <c r="C98" s="20"/>
      <c r="D98" s="20"/>
      <c r="E98" s="20"/>
    </row>
    <row r="99" spans="1:5">
      <c r="A99" s="20"/>
      <c r="B99" s="20"/>
      <c r="C99" s="20"/>
      <c r="D99" s="20"/>
      <c r="E99" s="20"/>
    </row>
    <row r="100" spans="1:5">
      <c r="A100" s="20"/>
      <c r="B100" s="20"/>
      <c r="C100" s="20"/>
      <c r="D100" s="20"/>
      <c r="E100" s="20"/>
    </row>
    <row r="101" spans="1:5">
      <c r="A101" s="20"/>
      <c r="B101" s="20"/>
      <c r="C101" s="20"/>
      <c r="D101" s="20"/>
      <c r="E101" s="20"/>
    </row>
    <row r="102" spans="1:5">
      <c r="A102" s="20"/>
      <c r="B102" s="20"/>
      <c r="C102" s="20"/>
      <c r="D102" s="20"/>
      <c r="E102" s="20"/>
    </row>
    <row r="103" spans="1:5">
      <c r="A103" s="20"/>
      <c r="B103" s="20"/>
      <c r="C103" s="20"/>
      <c r="D103" s="20"/>
      <c r="E103" s="20"/>
    </row>
    <row r="104" spans="1:5">
      <c r="A104" s="20"/>
      <c r="B104" s="20"/>
      <c r="C104" s="20"/>
      <c r="D104" s="20"/>
      <c r="E104" s="20"/>
    </row>
    <row r="105" spans="1:5">
      <c r="A105" s="20"/>
      <c r="B105" s="20"/>
      <c r="C105" s="20"/>
      <c r="D105" s="20"/>
      <c r="E105" s="20"/>
    </row>
    <row r="106" spans="1:5">
      <c r="A106" s="20"/>
      <c r="B106" s="20"/>
      <c r="C106" s="20"/>
      <c r="D106" s="20"/>
      <c r="E106" s="20"/>
    </row>
    <row r="107" spans="1:5">
      <c r="A107" s="20" t="s">
        <v>80</v>
      </c>
      <c r="B107" s="20" t="s">
        <v>81</v>
      </c>
      <c r="C107" s="20"/>
      <c r="D107" s="20"/>
      <c r="E107" s="20"/>
    </row>
    <row r="108" spans="1:5">
      <c r="A108" s="20"/>
      <c r="B108" s="20" t="s">
        <v>82</v>
      </c>
      <c r="C108" s="20"/>
      <c r="D108" s="20"/>
      <c r="E108" s="20"/>
    </row>
    <row r="109" spans="1:5">
      <c r="A109" s="20"/>
      <c r="B109" s="20" t="s">
        <v>83</v>
      </c>
      <c r="C109" s="20"/>
      <c r="D109" s="20"/>
      <c r="E109" s="20"/>
    </row>
    <row r="110" spans="1:5">
      <c r="A110" s="20"/>
      <c r="B110" s="20" t="s">
        <v>84</v>
      </c>
      <c r="C110" s="20"/>
      <c r="D110" s="20"/>
      <c r="E110" s="20"/>
    </row>
  </sheetData>
  <sheetProtection password="FD78" sheet="1" objects="1" scenarios="1" selectLockedCells="1"/>
  <phoneticPr fontId="11" type="noConversion"/>
  <dataValidations count="4">
    <dataValidation type="list" allowBlank="1" showInputMessage="1" showErrorMessage="1" sqref="D8">
      <formula1>"Sydney, Adelaide, Brisbane, Melbourne, Perth, Townsville"</formula1>
    </dataValidation>
    <dataValidation type="list" allowBlank="1" showInputMessage="1" showErrorMessage="1" prompt="Most commonly desired swimming temperature is between 26-28 degrees" sqref="D22">
      <formula1>"22, 24,26,28,30"</formula1>
    </dataValidation>
    <dataValidation type="list" allowBlank="1" showInputMessage="1" showErrorMessage="1" prompt="Most common heat up time is 24 hours" sqref="D24">
      <formula1>"8,12,24,48"</formula1>
    </dataValidation>
    <dataValidation type="list" allowBlank="1" showInputMessage="1" showErrorMessage="1" prompt="Most common heat up time is 24 hours" sqref="D27">
      <formula1>"1.8,2.0,2.4,2.8, 3.5"</formula1>
    </dataValidation>
  </dataValidations>
  <pageMargins left="0.75000000000000011" right="0.75000000000000011" top="1" bottom="1" header="0.5" footer="0.5"/>
  <pageSetup paperSize="9"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D33" sqref="D33"/>
    </sheetView>
  </sheetViews>
  <sheetFormatPr baseColWidth="10" defaultColWidth="11" defaultRowHeight="15" x14ac:dyDescent="0"/>
  <sheetData>
    <row r="2" spans="1:14">
      <c r="A2" s="1" t="s">
        <v>16</v>
      </c>
      <c r="B2" s="2">
        <f>Sheet1!$D$22</f>
        <v>26</v>
      </c>
      <c r="C2" s="2">
        <f>Sheet1!$D$22</f>
        <v>26</v>
      </c>
      <c r="D2" s="2">
        <f>Sheet1!$D$22</f>
        <v>26</v>
      </c>
      <c r="E2" s="2">
        <f>Sheet1!$D$22</f>
        <v>26</v>
      </c>
      <c r="F2" s="2">
        <f>Sheet1!$D$22</f>
        <v>26</v>
      </c>
      <c r="G2" s="2">
        <f>Sheet1!$D$22</f>
        <v>26</v>
      </c>
      <c r="H2" s="2">
        <f>Sheet1!$D$22</f>
        <v>26</v>
      </c>
      <c r="I2" s="2">
        <f>Sheet1!$D$22</f>
        <v>26</v>
      </c>
      <c r="J2" s="2">
        <f>Sheet1!$D$22</f>
        <v>26</v>
      </c>
      <c r="K2" s="2">
        <f>Sheet1!$D$22</f>
        <v>26</v>
      </c>
      <c r="L2" s="2">
        <f>Sheet1!$D$22</f>
        <v>26</v>
      </c>
      <c r="M2" s="2">
        <f>Sheet1!$D$22</f>
        <v>26</v>
      </c>
    </row>
    <row r="3" spans="1:14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 s="34" t="s">
        <v>17</v>
      </c>
    </row>
    <row r="4" spans="1:14" ht="16" thickBot="1">
      <c r="A4" s="3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  <c r="N4" s="35"/>
    </row>
    <row r="5" spans="1:14" ht="17" thickTop="1" thickBot="1">
      <c r="A5" s="5" t="s">
        <v>5</v>
      </c>
      <c r="B5" s="6">
        <v>23.1</v>
      </c>
      <c r="C5" s="6">
        <v>22.6</v>
      </c>
      <c r="D5" s="6">
        <v>20.399999999999999</v>
      </c>
      <c r="E5" s="6">
        <v>17.600000000000001</v>
      </c>
      <c r="F5" s="6">
        <v>13.7</v>
      </c>
      <c r="G5" s="6">
        <v>11.4</v>
      </c>
      <c r="H5" s="6">
        <v>10.4</v>
      </c>
      <c r="I5" s="6">
        <v>11.3</v>
      </c>
      <c r="J5" s="6">
        <v>13.8</v>
      </c>
      <c r="K5" s="6">
        <v>16.8</v>
      </c>
      <c r="L5" s="6">
        <v>19.100000000000001</v>
      </c>
      <c r="M5" s="7">
        <v>20.8</v>
      </c>
      <c r="N5" s="8">
        <f>COUNTIF(Sheet1!$D$8,$A5)</f>
        <v>0</v>
      </c>
    </row>
    <row r="6" spans="1:14" ht="16" thickBot="1">
      <c r="A6" s="5" t="s">
        <v>31</v>
      </c>
      <c r="B6" s="9">
        <v>25.6</v>
      </c>
      <c r="C6" s="9">
        <v>25.3</v>
      </c>
      <c r="D6" s="9">
        <v>23.8</v>
      </c>
      <c r="E6" s="9">
        <v>21.5</v>
      </c>
      <c r="F6" s="9">
        <v>17.600000000000001</v>
      </c>
      <c r="G6" s="9">
        <v>14.8</v>
      </c>
      <c r="H6" s="9">
        <v>13.5</v>
      </c>
      <c r="I6" s="9">
        <v>15.4</v>
      </c>
      <c r="J6" s="9">
        <v>18.8</v>
      </c>
      <c r="K6" s="9">
        <v>21.9</v>
      </c>
      <c r="L6" s="9">
        <v>23.9</v>
      </c>
      <c r="M6" s="10">
        <v>25.1</v>
      </c>
      <c r="N6" s="8">
        <f>COUNTIF(Sheet1!$D$8,$A6)</f>
        <v>0</v>
      </c>
    </row>
    <row r="7" spans="1:14" ht="16" thickBot="1">
      <c r="A7" s="5" t="s">
        <v>32</v>
      </c>
      <c r="B7" s="9">
        <v>20.100000000000001</v>
      </c>
      <c r="C7" s="9">
        <v>19.8</v>
      </c>
      <c r="D7" s="9">
        <v>17.600000000000001</v>
      </c>
      <c r="E7" s="9">
        <v>14.6</v>
      </c>
      <c r="F7" s="9">
        <v>11.2</v>
      </c>
      <c r="G7" s="9">
        <v>9</v>
      </c>
      <c r="H7" s="9">
        <v>8.1999999999999993</v>
      </c>
      <c r="I7" s="9">
        <v>9.5</v>
      </c>
      <c r="J7" s="9">
        <v>11.9</v>
      </c>
      <c r="K7" s="9">
        <v>14.6</v>
      </c>
      <c r="L7" s="9">
        <v>16.5</v>
      </c>
      <c r="M7" s="10">
        <v>18.5</v>
      </c>
      <c r="N7" s="8">
        <f>COUNTIF(Sheet1!$D$8,$A7)</f>
        <v>0</v>
      </c>
    </row>
    <row r="8" spans="1:14" ht="16" thickBot="1">
      <c r="A8" s="5" t="s">
        <v>33</v>
      </c>
      <c r="B8" s="9">
        <v>23.9</v>
      </c>
      <c r="C8" s="9">
        <v>23.4</v>
      </c>
      <c r="D8" s="9">
        <v>21.2</v>
      </c>
      <c r="E8" s="9">
        <v>17.899999999999999</v>
      </c>
      <c r="F8" s="9">
        <v>15.2</v>
      </c>
      <c r="G8" s="9">
        <v>13.3</v>
      </c>
      <c r="H8" s="9">
        <v>11.9</v>
      </c>
      <c r="I8" s="9">
        <v>12.6</v>
      </c>
      <c r="J8" s="9">
        <v>14.5</v>
      </c>
      <c r="K8" s="9">
        <v>17.3</v>
      </c>
      <c r="L8" s="9">
        <v>20</v>
      </c>
      <c r="M8" s="10">
        <v>22.7</v>
      </c>
      <c r="N8" s="8">
        <f>COUNTIF(Sheet1!$D$8,$A8)</f>
        <v>0</v>
      </c>
    </row>
    <row r="9" spans="1:14" ht="16" thickBot="1">
      <c r="A9" s="5" t="s">
        <v>34</v>
      </c>
      <c r="B9" s="9">
        <v>22.9</v>
      </c>
      <c r="C9" s="9">
        <v>23</v>
      </c>
      <c r="D9" s="9">
        <v>21.4</v>
      </c>
      <c r="E9" s="9">
        <v>18.399999999999999</v>
      </c>
      <c r="F9" s="9">
        <v>14.3</v>
      </c>
      <c r="G9" s="9">
        <v>12</v>
      </c>
      <c r="H9" s="9">
        <v>10.9</v>
      </c>
      <c r="I9" s="9">
        <v>12.5</v>
      </c>
      <c r="J9" s="9">
        <v>15.4</v>
      </c>
      <c r="K9" s="9">
        <v>18.600000000000001</v>
      </c>
      <c r="L9" s="9">
        <v>20.7</v>
      </c>
      <c r="M9" s="10">
        <v>22.1</v>
      </c>
      <c r="N9" s="8">
        <f>COUNTIF(Sheet1!$D$8,$A9)</f>
        <v>1</v>
      </c>
    </row>
    <row r="10" spans="1:14" ht="16" thickBot="1">
      <c r="A10" s="11" t="s">
        <v>35</v>
      </c>
      <c r="B10" s="9">
        <f>B6</f>
        <v>25.6</v>
      </c>
      <c r="C10" s="9">
        <f>C6</f>
        <v>25.3</v>
      </c>
      <c r="D10" s="9">
        <f>D6</f>
        <v>23.8</v>
      </c>
      <c r="E10" s="9">
        <f>E6+2</f>
        <v>23.5</v>
      </c>
      <c r="F10" s="9">
        <f t="shared" ref="F10:K10" si="0">F6+3</f>
        <v>20.6</v>
      </c>
      <c r="G10" s="9">
        <f t="shared" si="0"/>
        <v>17.8</v>
      </c>
      <c r="H10" s="9">
        <f t="shared" si="0"/>
        <v>16.5</v>
      </c>
      <c r="I10" s="9">
        <f t="shared" si="0"/>
        <v>18.399999999999999</v>
      </c>
      <c r="J10" s="9">
        <f t="shared" si="0"/>
        <v>21.8</v>
      </c>
      <c r="K10" s="9">
        <f t="shared" si="0"/>
        <v>24.9</v>
      </c>
      <c r="L10" s="9">
        <f>L6+2</f>
        <v>25.9</v>
      </c>
      <c r="M10" s="10">
        <f>M6+2</f>
        <v>27.1</v>
      </c>
      <c r="N10" s="12">
        <f>COUNTIF(Sheet1!$D$8,$A10)</f>
        <v>0</v>
      </c>
    </row>
    <row r="11" spans="1:14">
      <c r="A11" s="13" t="s">
        <v>36</v>
      </c>
      <c r="B11" s="14">
        <f>VLOOKUP(Sheet1!$D$8,$A$5:$M$10,2,FALSE)</f>
        <v>22.9</v>
      </c>
      <c r="C11" s="14">
        <f>VLOOKUP(Sheet1!$D$8,$A$5:$M$10,3,FALSE)</f>
        <v>23</v>
      </c>
      <c r="D11" s="14">
        <f>VLOOKUP(Sheet1!$D$8,$A$5:$M$10,4,FALSE)</f>
        <v>21.4</v>
      </c>
      <c r="E11" s="14">
        <f>VLOOKUP(Sheet1!$D$8,$A$5:$M$10,5,FALSE)</f>
        <v>18.399999999999999</v>
      </c>
      <c r="F11" s="14">
        <f>VLOOKUP(Sheet1!$D$8,$A$5:$M$10,6,FALSE)</f>
        <v>14.3</v>
      </c>
      <c r="G11" s="14">
        <f>VLOOKUP(Sheet1!$D$8,$A$5:$M$10,7,FALSE)</f>
        <v>12</v>
      </c>
      <c r="H11" s="14">
        <f>VLOOKUP(Sheet1!$D$8,$A$5:$M$10,8,FALSE)</f>
        <v>10.9</v>
      </c>
      <c r="I11" s="14">
        <f>VLOOKUP(Sheet1!$D$8,$A$5:$M$10,9,FALSE)</f>
        <v>12.5</v>
      </c>
      <c r="J11" s="14">
        <f>VLOOKUP(Sheet1!$D$8,$A$5:$M$10,10,FALSE)</f>
        <v>15.4</v>
      </c>
      <c r="K11" s="14">
        <f>VLOOKUP(Sheet1!$D$8,$A$5:$M$10,11,FALSE)</f>
        <v>18.600000000000001</v>
      </c>
      <c r="L11" s="14">
        <f>VLOOKUP(Sheet1!$D$8,$A$5:$M$10,12,FALSE)</f>
        <v>20.7</v>
      </c>
      <c r="M11" s="14">
        <f>VLOOKUP(Sheet1!$D$8,$A$5:$M$10,13,FALSE)</f>
        <v>22.1</v>
      </c>
    </row>
    <row r="12" spans="1:14">
      <c r="A12" s="5">
        <f>A15</f>
        <v>0</v>
      </c>
      <c r="B12" s="5">
        <f t="shared" ref="B12:M12" si="1">IF(B2-B11&lt;0,0,B2-B11)</f>
        <v>3.1000000000000014</v>
      </c>
      <c r="C12" s="5">
        <f t="shared" si="1"/>
        <v>3</v>
      </c>
      <c r="D12" s="5">
        <f t="shared" si="1"/>
        <v>4.6000000000000014</v>
      </c>
      <c r="E12" s="5">
        <f t="shared" si="1"/>
        <v>7.6000000000000014</v>
      </c>
      <c r="F12" s="5">
        <f t="shared" si="1"/>
        <v>11.7</v>
      </c>
      <c r="G12" s="5">
        <f t="shared" si="1"/>
        <v>14</v>
      </c>
      <c r="H12" s="5">
        <f t="shared" si="1"/>
        <v>15.1</v>
      </c>
      <c r="I12" s="5">
        <f t="shared" si="1"/>
        <v>13.5</v>
      </c>
      <c r="J12" s="5">
        <f t="shared" si="1"/>
        <v>10.6</v>
      </c>
      <c r="K12" s="5">
        <f t="shared" si="1"/>
        <v>7.3999999999999986</v>
      </c>
      <c r="L12" s="5">
        <f t="shared" si="1"/>
        <v>5.3000000000000007</v>
      </c>
      <c r="M12" s="5">
        <f t="shared" si="1"/>
        <v>3.8999999999999986</v>
      </c>
    </row>
    <row r="19" spans="1:15">
      <c r="A19" s="15" t="s">
        <v>48</v>
      </c>
      <c r="B19" s="16" t="s">
        <v>49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5">
      <c r="A20" s="16" t="s">
        <v>41</v>
      </c>
      <c r="B20" s="16">
        <v>105</v>
      </c>
      <c r="C20" s="16">
        <f>IF(B20&gt;=Sheet1!$D$34,1,0)</f>
        <v>0</v>
      </c>
      <c r="D20" s="16">
        <f>IF(C19=1,0,C20)</f>
        <v>0</v>
      </c>
      <c r="E20" s="16" t="str">
        <f>A20</f>
        <v>HX 120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>
      <c r="A21" s="16" t="s">
        <v>42</v>
      </c>
      <c r="B21" s="16">
        <v>105</v>
      </c>
      <c r="C21" s="16">
        <f>IF(B21&gt;=Sheet1!$D$34,1,0)</f>
        <v>0</v>
      </c>
      <c r="D21" s="16">
        <f t="shared" ref="D21:D32" si="2">IF(C20=1,0,C21)</f>
        <v>0</v>
      </c>
      <c r="E21" s="16" t="str">
        <f t="shared" ref="E21:E32" si="3">A21</f>
        <v>JX 130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>
      <c r="A22" s="16" t="s">
        <v>43</v>
      </c>
      <c r="B22" s="16">
        <v>150</v>
      </c>
      <c r="C22" s="16">
        <f>IF(B22&gt;=Sheet1!$D$34,1,0)</f>
        <v>1</v>
      </c>
      <c r="D22" s="16">
        <f t="shared" si="2"/>
        <v>1</v>
      </c>
      <c r="E22" s="16" t="str">
        <f t="shared" si="3"/>
        <v>JX 160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>
      <c r="A23" s="16" t="s">
        <v>44</v>
      </c>
      <c r="B23" s="16">
        <v>190</v>
      </c>
      <c r="C23" s="16">
        <f>IF(B23&gt;=Sheet1!$D$34,1,0)</f>
        <v>1</v>
      </c>
      <c r="D23" s="16">
        <f t="shared" si="2"/>
        <v>0</v>
      </c>
      <c r="E23" s="16" t="str">
        <f t="shared" si="3"/>
        <v>HiNRG 175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>
      <c r="A24" s="17" t="s">
        <v>72</v>
      </c>
      <c r="B24" s="16">
        <v>250</v>
      </c>
      <c r="C24" s="16">
        <f>IF(B24&gt;=Sheet1!$D$34,1,0)</f>
        <v>1</v>
      </c>
      <c r="D24" s="16">
        <f t="shared" si="2"/>
        <v>0</v>
      </c>
      <c r="E24" s="16" t="str">
        <f t="shared" si="3"/>
        <v>HiNRG 250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16" t="s">
        <v>45</v>
      </c>
      <c r="B25" s="16">
        <v>250</v>
      </c>
      <c r="C25" s="16">
        <f>IF(B25&gt;=Sheet1!$D$34,1,0)</f>
        <v>1</v>
      </c>
      <c r="D25" s="16">
        <f t="shared" si="2"/>
        <v>0</v>
      </c>
      <c r="E25" s="16" t="str">
        <f t="shared" si="3"/>
        <v>Viron 250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6" t="s">
        <v>50</v>
      </c>
      <c r="B26" s="16">
        <v>290</v>
      </c>
      <c r="C26" s="16">
        <f>IF(B26&gt;=Sheet1!$D$34,1,0)</f>
        <v>1</v>
      </c>
      <c r="D26" s="16">
        <f t="shared" si="2"/>
        <v>0</v>
      </c>
      <c r="E26" s="16" t="str">
        <f t="shared" si="3"/>
        <v>Viron 350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16" t="s">
        <v>46</v>
      </c>
      <c r="B27" s="16">
        <v>400</v>
      </c>
      <c r="C27" s="16">
        <f>IF(B27&gt;=Sheet1!$D$34,1,0)</f>
        <v>1</v>
      </c>
      <c r="D27" s="16">
        <f t="shared" si="2"/>
        <v>0</v>
      </c>
      <c r="E27" s="16" t="str">
        <f t="shared" si="3"/>
        <v>HiNRG 400</v>
      </c>
    </row>
    <row r="28" spans="1:15">
      <c r="A28" s="16" t="s">
        <v>47</v>
      </c>
      <c r="B28" s="16">
        <v>400</v>
      </c>
      <c r="C28" s="16">
        <f>IF(B28&gt;=Sheet1!$D$34,1,0)</f>
        <v>1</v>
      </c>
      <c r="D28" s="16">
        <f t="shared" si="2"/>
        <v>0</v>
      </c>
      <c r="E28" s="16" t="str">
        <f t="shared" si="3"/>
        <v>Viron 450</v>
      </c>
    </row>
    <row r="29" spans="1:15">
      <c r="A29" s="16" t="s">
        <v>73</v>
      </c>
      <c r="B29" s="16">
        <v>500</v>
      </c>
      <c r="C29" s="16">
        <f>IF(B29&gt;=Sheet1!$D$34,1,0)</f>
        <v>1</v>
      </c>
      <c r="D29" s="16">
        <f t="shared" si="2"/>
        <v>0</v>
      </c>
      <c r="E29" s="16" t="str">
        <f t="shared" si="3"/>
        <v>2 x HiNRG 250</v>
      </c>
    </row>
    <row r="30" spans="1:15">
      <c r="A30" s="16" t="s">
        <v>74</v>
      </c>
      <c r="B30" s="16">
        <v>800</v>
      </c>
      <c r="C30" s="16">
        <f>IF(B30&gt;=Sheet1!$D$34,1,0)</f>
        <v>1</v>
      </c>
      <c r="D30" s="16">
        <f t="shared" si="2"/>
        <v>0</v>
      </c>
      <c r="E30" s="16" t="str">
        <f t="shared" si="3"/>
        <v>2 x HiNRG 400</v>
      </c>
    </row>
    <row r="31" spans="1:15">
      <c r="A31" s="16" t="s">
        <v>75</v>
      </c>
      <c r="B31" s="16">
        <v>1200</v>
      </c>
      <c r="C31" s="16">
        <f>IF(B31&gt;=Sheet1!$D$34,1,0)</f>
        <v>1</v>
      </c>
      <c r="D31" s="16">
        <f t="shared" si="2"/>
        <v>0</v>
      </c>
      <c r="E31" s="16" t="str">
        <f t="shared" si="3"/>
        <v>3 x HiNRG 400</v>
      </c>
    </row>
    <row r="32" spans="1:15">
      <c r="A32" s="16" t="s">
        <v>76</v>
      </c>
      <c r="B32" s="16">
        <v>1600</v>
      </c>
      <c r="C32" s="16">
        <f>IF(B32&gt;=Sheet1!$D$34,1,0)</f>
        <v>1</v>
      </c>
      <c r="D32" s="16">
        <f t="shared" si="2"/>
        <v>0</v>
      </c>
      <c r="E32" s="16" t="str">
        <f t="shared" si="3"/>
        <v>4 x HiNRG 400</v>
      </c>
    </row>
    <row r="33" spans="1:13">
      <c r="A33" s="16"/>
      <c r="B33" s="16"/>
      <c r="C33" s="16"/>
      <c r="D33" s="16"/>
      <c r="E33" s="16"/>
    </row>
    <row r="34" spans="1:13">
      <c r="A34" s="16"/>
      <c r="B34" s="16"/>
      <c r="C34" s="16"/>
      <c r="D34" s="16"/>
      <c r="E34" s="16"/>
    </row>
    <row r="35" spans="1:13">
      <c r="A35" s="16"/>
      <c r="B35" s="16"/>
      <c r="C35" s="16"/>
      <c r="D35" s="16"/>
      <c r="E35" s="16"/>
    </row>
    <row r="36" spans="1:13">
      <c r="A36" s="16"/>
      <c r="B36" s="16"/>
      <c r="C36" s="16"/>
      <c r="D36" s="16"/>
      <c r="E36" s="16"/>
    </row>
    <row r="38" spans="1:13">
      <c r="A38" t="s">
        <v>54</v>
      </c>
    </row>
    <row r="39" spans="1:13">
      <c r="B39" s="4" t="s">
        <v>19</v>
      </c>
      <c r="C39" s="4" t="s">
        <v>20</v>
      </c>
      <c r="D39" s="4" t="s">
        <v>21</v>
      </c>
      <c r="E39" s="4" t="s">
        <v>22</v>
      </c>
      <c r="F39" s="4" t="s">
        <v>23</v>
      </c>
      <c r="G39" s="4" t="s">
        <v>24</v>
      </c>
      <c r="H39" s="4" t="s">
        <v>25</v>
      </c>
      <c r="I39" s="4" t="s">
        <v>26</v>
      </c>
      <c r="J39" s="4" t="s">
        <v>27</v>
      </c>
      <c r="K39" s="4" t="s">
        <v>28</v>
      </c>
      <c r="L39" s="4" t="s">
        <v>29</v>
      </c>
      <c r="M39" s="4" t="s">
        <v>30</v>
      </c>
    </row>
    <row r="40" spans="1:13">
      <c r="A40" t="s">
        <v>55</v>
      </c>
      <c r="B40" s="18">
        <f>Sheet1!$D$14*Sheet1!$D$16*0.33*Sheet2!B$12*Sheet1!$D$24*Sheet1!$D$27/100</f>
        <v>19.88712000000001</v>
      </c>
      <c r="C40" s="18">
        <f>Sheet1!$D$14*Sheet1!$D$16*0.33*Sheet2!C$12*Sheet1!$D$24*Sheet1!$D$27/100</f>
        <v>19.2456</v>
      </c>
      <c r="D40" s="18">
        <f>Sheet1!$D$14*Sheet1!$D$16*0.33*Sheet2!D$12*Sheet1!$D$24*Sheet1!$D$27/100</f>
        <v>29.509920000000012</v>
      </c>
      <c r="E40" s="18">
        <f>Sheet1!$D$14*Sheet1!$D$16*0.33*Sheet2!E$12*Sheet1!$D$24*Sheet1!$D$27/100</f>
        <v>48.755520000000018</v>
      </c>
      <c r="F40" s="18">
        <f>Sheet1!$D$14*Sheet1!$D$16*0.33*Sheet2!F$12*Sheet1!$D$24*Sheet1!$D$27/100</f>
        <v>75.057839999999999</v>
      </c>
      <c r="G40" s="18">
        <f>Sheet1!$D$14*Sheet1!$D$16*0.33*Sheet2!G$12*Sheet1!$D$24*Sheet1!$D$27/100</f>
        <v>89.81280000000001</v>
      </c>
      <c r="H40" s="18">
        <f>Sheet1!$D$14*Sheet1!$D$16*0.33*Sheet2!H$12*Sheet1!$D$24*Sheet1!$D$27/100</f>
        <v>96.869519999999994</v>
      </c>
      <c r="I40" s="18">
        <f>Sheet1!$D$14*Sheet1!$D$16*0.33*Sheet2!I$12*Sheet1!$D$24*Sheet1!$D$27/100</f>
        <v>86.605200000000011</v>
      </c>
      <c r="J40" s="18">
        <f>Sheet1!$D$14*Sheet1!$D$16*0.33*Sheet2!J$12*Sheet1!$D$24*Sheet1!$D$27/100</f>
        <v>68.001120000000014</v>
      </c>
      <c r="K40" s="18">
        <f>Sheet1!$D$14*Sheet1!$D$16*0.33*Sheet2!K$12*Sheet1!$D$24*Sheet1!$D$27/100</f>
        <v>47.472479999999997</v>
      </c>
      <c r="L40" s="18">
        <f>Sheet1!$D$14*Sheet1!$D$16*0.33*Sheet2!L$12*Sheet1!$D$24*Sheet1!$D$27/100</f>
        <v>34.000560000000007</v>
      </c>
      <c r="M40" s="18">
        <f>Sheet1!$D$14*Sheet1!$D$16*0.33*Sheet2!M$12*Sheet1!$D$24*Sheet1!$D$27/100</f>
        <v>25.019279999999991</v>
      </c>
    </row>
    <row r="41" spans="1:13">
      <c r="A41" t="s">
        <v>56</v>
      </c>
      <c r="B41" s="18">
        <f>B40*0.8</f>
        <v>15.909696000000009</v>
      </c>
      <c r="C41" s="18">
        <f t="shared" ref="C41:M41" si="4">C40*0.8</f>
        <v>15.39648</v>
      </c>
      <c r="D41" s="18">
        <f t="shared" si="4"/>
        <v>23.607936000000009</v>
      </c>
      <c r="E41" s="18">
        <f t="shared" si="4"/>
        <v>39.00441600000002</v>
      </c>
      <c r="F41" s="18">
        <f t="shared" si="4"/>
        <v>60.046272000000002</v>
      </c>
      <c r="G41" s="18">
        <f t="shared" si="4"/>
        <v>71.850240000000014</v>
      </c>
      <c r="H41" s="18">
        <f t="shared" si="4"/>
        <v>77.495615999999998</v>
      </c>
      <c r="I41" s="18">
        <f t="shared" si="4"/>
        <v>69.284160000000014</v>
      </c>
      <c r="J41" s="18">
        <f t="shared" si="4"/>
        <v>54.400896000000017</v>
      </c>
      <c r="K41" s="18">
        <f t="shared" si="4"/>
        <v>37.977983999999999</v>
      </c>
      <c r="L41" s="18">
        <f t="shared" si="4"/>
        <v>27.200448000000009</v>
      </c>
      <c r="M41" s="18">
        <f t="shared" si="4"/>
        <v>20.015423999999996</v>
      </c>
    </row>
    <row r="44" spans="1:13">
      <c r="A44" t="s">
        <v>58</v>
      </c>
    </row>
    <row r="45" spans="1:13">
      <c r="C45" t="s">
        <v>62</v>
      </c>
      <c r="D45" t="s">
        <v>61</v>
      </c>
    </row>
    <row r="46" spans="1:13">
      <c r="A46" t="s">
        <v>64</v>
      </c>
      <c r="B46" t="s">
        <v>59</v>
      </c>
      <c r="C46" s="18">
        <f>((E12*0.3)*0.00116*Sheet1!D20*3.6*1.25*Sheet1!D27/100)*14+E40</f>
        <v>210.71249280000004</v>
      </c>
      <c r="D46" s="18">
        <f>C46*0.75</f>
        <v>158.03436960000002</v>
      </c>
    </row>
    <row r="47" spans="1:13">
      <c r="A47" t="s">
        <v>65</v>
      </c>
      <c r="B47" t="s">
        <v>59</v>
      </c>
      <c r="C47" s="18">
        <f>((H12*0.3)*0.00116*Sheet1!$D$20*3.6*1.25*Sheet1!$D$27/100)*14+H40</f>
        <v>418.65245279999999</v>
      </c>
      <c r="D47" s="18">
        <f>C47*0.75</f>
        <v>313.98933959999999</v>
      </c>
    </row>
    <row r="48" spans="1:13">
      <c r="A48" t="s">
        <v>66</v>
      </c>
      <c r="B48" t="s">
        <v>63</v>
      </c>
      <c r="C48" s="18">
        <f>((J12*0.3)*0.00116*Sheet1!$D$20*3.6*1.25*Sheet1!$D$27/100)*14+J40</f>
        <v>293.88847679999998</v>
      </c>
      <c r="D48" s="18">
        <f>C48*0.75</f>
        <v>220.41635759999997</v>
      </c>
    </row>
    <row r="49" spans="1:13">
      <c r="A49" t="s">
        <v>67</v>
      </c>
      <c r="B49" t="s">
        <v>60</v>
      </c>
      <c r="C49" s="18">
        <f>((M12*0.3)*0.00116*Sheet1!$D$20*3.6*1.25*Sheet1!$D$27/100)*14+M40</f>
        <v>108.12877919999995</v>
      </c>
      <c r="D49" s="18">
        <f>C49*0.75</f>
        <v>81.096584399999969</v>
      </c>
    </row>
    <row r="52" spans="1:13">
      <c r="A52" t="s">
        <v>69</v>
      </c>
    </row>
    <row r="53" spans="1:13">
      <c r="B53" s="4" t="s">
        <v>19</v>
      </c>
      <c r="C53" s="4" t="s">
        <v>20</v>
      </c>
      <c r="D53" s="4" t="s">
        <v>21</v>
      </c>
      <c r="E53" s="4" t="s">
        <v>22</v>
      </c>
      <c r="F53" s="4" t="s">
        <v>23</v>
      </c>
      <c r="G53" s="4" t="s">
        <v>24</v>
      </c>
      <c r="H53" s="4" t="s">
        <v>25</v>
      </c>
      <c r="I53" s="4" t="s">
        <v>26</v>
      </c>
      <c r="J53" s="4" t="s">
        <v>27</v>
      </c>
      <c r="K53" s="4" t="s">
        <v>28</v>
      </c>
      <c r="L53" s="4" t="s">
        <v>29</v>
      </c>
      <c r="M53" s="4" t="s">
        <v>30</v>
      </c>
    </row>
    <row r="54" spans="1:13">
      <c r="A54" t="s">
        <v>55</v>
      </c>
      <c r="B54" s="18">
        <f>(B12*0.3)*0.00116*Sheet1!$D$32*3.6*1.25*2/100+Sheet2!B40</f>
        <v>24.605791200000013</v>
      </c>
      <c r="C54" s="18">
        <f>(C12*0.3)*0.00116*Sheet1!$D$32*3.6*1.25*2/100+Sheet2!C40</f>
        <v>23.812055999999998</v>
      </c>
      <c r="D54" s="18">
        <f>(D12*0.3)*0.00116*Sheet1!$D$32*3.6*1.25*2/100+Sheet2!D40</f>
        <v>36.511819200000012</v>
      </c>
      <c r="E54" s="18">
        <f>(E12*0.3)*0.00116*Sheet1!$D$32*3.6*1.25*2/100+Sheet2!E40</f>
        <v>60.323875200000018</v>
      </c>
      <c r="F54" s="18">
        <f>(F12*0.3)*0.00116*Sheet1!$D$32*3.6*1.25*2/100+Sheet2!F40</f>
        <v>92.867018400000006</v>
      </c>
      <c r="G54" s="18">
        <f>(G12*0.3)*0.00116*Sheet1!$D$32*3.6*1.25*2/100+Sheet2!G40</f>
        <v>111.12292800000002</v>
      </c>
      <c r="H54" s="18">
        <f>(H12*0.3)*0.00116*Sheet1!$D$32*3.6*1.25*2/100+Sheet2!H40</f>
        <v>119.85401519999999</v>
      </c>
      <c r="I54" s="18">
        <f>(I12*0.3)*0.00116*Sheet1!$D$32*3.6*1.25*2/100+Sheet2!I40</f>
        <v>107.15425200000001</v>
      </c>
      <c r="J54" s="18">
        <f>(J12*0.3)*0.00116*Sheet1!$D$32*3.6*1.25*2/100+Sheet2!J40</f>
        <v>84.135931200000016</v>
      </c>
      <c r="K54" s="18">
        <f>(K12*0.3)*0.00116*Sheet1!$D$32*3.6*1.25*2/100+Sheet2!K40</f>
        <v>58.736404799999995</v>
      </c>
      <c r="L54" s="18">
        <f>(L12*0.3)*0.00116*Sheet1!$D$32*3.6*1.25*2/100+Sheet2!L40</f>
        <v>42.067965600000008</v>
      </c>
      <c r="M54" s="18">
        <f>(M12*0.3)*0.00116*Sheet1!$D$32*3.6*1.25*2/100+Sheet2!M40</f>
        <v>30.955672799999988</v>
      </c>
    </row>
    <row r="55" spans="1:13">
      <c r="A55" t="s">
        <v>56</v>
      </c>
      <c r="B55" s="18">
        <f>B54*0.8</f>
        <v>19.684632960000013</v>
      </c>
      <c r="C55" s="18">
        <f t="shared" ref="C55:M55" si="5">C54*0.8</f>
        <v>19.049644799999999</v>
      </c>
      <c r="D55" s="18">
        <f t="shared" si="5"/>
        <v>29.20945536000001</v>
      </c>
      <c r="E55" s="18">
        <f t="shared" si="5"/>
        <v>48.259100160000017</v>
      </c>
      <c r="F55" s="18">
        <f t="shared" si="5"/>
        <v>74.293614720000008</v>
      </c>
      <c r="G55" s="18">
        <f t="shared" si="5"/>
        <v>88.898342400000018</v>
      </c>
      <c r="H55" s="18">
        <f t="shared" si="5"/>
        <v>95.883212159999999</v>
      </c>
      <c r="I55" s="18">
        <f t="shared" si="5"/>
        <v>85.723401600000017</v>
      </c>
      <c r="J55" s="18">
        <f t="shared" si="5"/>
        <v>67.308744960000013</v>
      </c>
      <c r="K55" s="18">
        <f t="shared" si="5"/>
        <v>46.989123839999998</v>
      </c>
      <c r="L55" s="18">
        <f t="shared" si="5"/>
        <v>33.654372480000006</v>
      </c>
      <c r="M55" s="18">
        <f t="shared" si="5"/>
        <v>24.764538239999993</v>
      </c>
    </row>
    <row r="57" spans="1:13">
      <c r="A57" t="s">
        <v>71</v>
      </c>
    </row>
    <row r="58" spans="1:13">
      <c r="B58" s="4" t="s">
        <v>19</v>
      </c>
      <c r="C58" s="4" t="s">
        <v>20</v>
      </c>
      <c r="D58" s="4" t="s">
        <v>21</v>
      </c>
      <c r="E58" s="4" t="s">
        <v>22</v>
      </c>
      <c r="F58" s="4" t="s">
        <v>23</v>
      </c>
      <c r="G58" s="4" t="s">
        <v>24</v>
      </c>
      <c r="H58" s="4" t="s">
        <v>25</v>
      </c>
      <c r="I58" s="4" t="s">
        <v>26</v>
      </c>
      <c r="J58" s="4" t="s">
        <v>27</v>
      </c>
      <c r="K58" s="4" t="s">
        <v>28</v>
      </c>
      <c r="L58" s="4" t="s">
        <v>29</v>
      </c>
      <c r="M58" s="4" t="s">
        <v>30</v>
      </c>
    </row>
    <row r="59" spans="1:13">
      <c r="A59" t="s">
        <v>55</v>
      </c>
      <c r="B59" s="18">
        <f>Sheet1!$D$20*0.00116*(Sheet2!B12*0.3)*3.6*1.25*31*Sheet1!$D$27/100</f>
        <v>146.27880720000007</v>
      </c>
      <c r="C59" s="18">
        <f>Sheet1!$D$20*0.00116*(Sheet2!C12*0.3)*3.6*1.25*31*Sheet1!$D$27/100</f>
        <v>141.56013599999997</v>
      </c>
      <c r="D59" s="18">
        <f>Sheet1!$D$20*0.00116*(Sheet2!D12*0.3)*3.6*1.25*31*Sheet1!$D$27/100</f>
        <v>217.05887520000005</v>
      </c>
      <c r="E59" s="18">
        <f>Sheet1!$D$20*0.00116*(Sheet2!E12*0.3)*3.6*1.25*31*Sheet1!$D$27/100</f>
        <v>358.61901120000005</v>
      </c>
      <c r="F59" s="18">
        <f>Sheet1!$D$20*0.00116*(Sheet2!F12*0.3)*3.6*1.25*31*Sheet1!$D$27/100</f>
        <v>552.08453039999995</v>
      </c>
      <c r="G59" s="18">
        <f>Sheet1!$D$20*0.00116*(Sheet2!G12*0.3)*3.6*1.25*31*Sheet1!$D$27/100</f>
        <v>660.613968</v>
      </c>
      <c r="H59" s="18">
        <f>Sheet1!$D$20*0.00116*(Sheet2!H12*0.3)*3.6*1.25*31*Sheet1!$D$27/100</f>
        <v>712.51935119999996</v>
      </c>
      <c r="I59" s="18">
        <f>Sheet1!$D$20*0.00116*(Sheet2!I12*0.3)*3.6*1.25*31*Sheet1!$D$27/100</f>
        <v>637.02061199999991</v>
      </c>
      <c r="J59" s="18">
        <f>Sheet1!$D$20*0.00116*(Sheet2!J12*0.3)*3.6*1.25*31*Sheet1!$D$27/100</f>
        <v>500.17914719999999</v>
      </c>
      <c r="K59" s="18">
        <f>Sheet1!$D$20*0.00116*(Sheet2!K12*0.3)*3.6*1.25*31*Sheet1!$D$27/100</f>
        <v>349.1816687999999</v>
      </c>
      <c r="L59" s="18">
        <f>Sheet1!$D$20*0.00116*(Sheet2!L12*0.3)*3.6*1.25*31*Sheet1!$D$27/100</f>
        <v>250.08957359999999</v>
      </c>
      <c r="M59" s="18">
        <f>Sheet1!$D$20*0.00116*(Sheet2!M12*0.3)*3.6*1.25*31*Sheet1!$D$27/100</f>
        <v>184.02817679999993</v>
      </c>
    </row>
    <row r="60" spans="1:13">
      <c r="A60" t="s">
        <v>56</v>
      </c>
      <c r="B60" s="18">
        <f>B59*0.5</f>
        <v>73.139403600000037</v>
      </c>
      <c r="C60" s="18">
        <f t="shared" ref="C60:M60" si="6">C59*0.5</f>
        <v>70.780067999999986</v>
      </c>
      <c r="D60" s="18">
        <f t="shared" si="6"/>
        <v>108.52943760000002</v>
      </c>
      <c r="E60" s="18">
        <f t="shared" si="6"/>
        <v>179.30950560000002</v>
      </c>
      <c r="F60" s="18">
        <f t="shared" si="6"/>
        <v>276.04226519999997</v>
      </c>
      <c r="G60" s="18">
        <f t="shared" si="6"/>
        <v>330.306984</v>
      </c>
      <c r="H60" s="18">
        <f t="shared" si="6"/>
        <v>356.25967559999998</v>
      </c>
      <c r="I60" s="18">
        <f t="shared" si="6"/>
        <v>318.51030599999996</v>
      </c>
      <c r="J60" s="18">
        <f t="shared" si="6"/>
        <v>250.08957359999999</v>
      </c>
      <c r="K60" s="18">
        <f t="shared" si="6"/>
        <v>174.59083439999995</v>
      </c>
      <c r="L60" s="18">
        <f t="shared" si="6"/>
        <v>125.0447868</v>
      </c>
      <c r="M60" s="18">
        <f t="shared" si="6"/>
        <v>92.014088399999963</v>
      </c>
    </row>
  </sheetData>
  <mergeCells count="1">
    <mergeCell ref="N3:N4"/>
  </mergeCells>
  <dataValidations count="1">
    <dataValidation type="list" allowBlank="1" showInputMessage="1" showErrorMessage="1" sqref="A5">
      <formula1>"Adelaide, Brisbane, Melbourne, Perth, Sydney, FNQ Coast"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 Wallace</dc:creator>
  <cp:lastModifiedBy>AstralPool</cp:lastModifiedBy>
  <dcterms:created xsi:type="dcterms:W3CDTF">2014-09-22T22:59:46Z</dcterms:created>
  <dcterms:modified xsi:type="dcterms:W3CDTF">2015-02-09T01:17:25Z</dcterms:modified>
</cp:coreProperties>
</file>